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VOLUME5\Administrata\MORE Budgets\2026 MORE Budget Planning\"/>
    </mc:Choice>
  </mc:AlternateContent>
  <xr:revisionPtr revIDLastSave="0" documentId="13_ncr:1_{ACB6D6DA-D3C3-4E4E-9E4E-D7DD10195149}" xr6:coauthVersionLast="47" xr6:coauthVersionMax="47" xr10:uidLastSave="{00000000-0000-0000-0000-000000000000}"/>
  <bookViews>
    <workbookView xWindow="-24120" yWindow="-1260" windowWidth="24240" windowHeight="13290" tabRatio="573" xr2:uid="{00000000-000D-0000-FFFF-FFFF00000000}"/>
  </bookViews>
  <sheets>
    <sheet name="2026 Preliminary budget" sheetId="18" r:id="rId1"/>
    <sheet name="Carryover" sheetId="22" r:id="rId2"/>
    <sheet name="2026 Cost to Libs" sheetId="20" r:id="rId3"/>
    <sheet name="MORE Formula w 3-yr Avg '22-'24" sheetId="21" r:id="rId4"/>
    <sheet name="Reserves" sheetId="19" r:id="rId5"/>
  </sheets>
  <definedNames>
    <definedName name="_xlnm.Print_Area" localSheetId="2">'2026 Cost to Libs'!$A:$L</definedName>
    <definedName name="_xlnm.Print_Area" localSheetId="0">'2026 Preliminary budget'!$A$1:$J$48</definedName>
    <definedName name="_xlnm.Print_Area" localSheetId="1">Carryover!$A$1:$F$175</definedName>
    <definedName name="_xlnm.Print_Area" localSheetId="3">'MORE Formula w 3-yr Avg ''22-''24'!$A$1:$X$63</definedName>
    <definedName name="_xlnm.Print_Titles" localSheetId="2">'2026 Cost to Libs'!$10:$10</definedName>
    <definedName name="_xlnm.Print_Titles" localSheetId="0">'2026 Preliminary budget'!$5:$6</definedName>
    <definedName name="_xlnm.Print_Titles" localSheetId="3">'MORE Formula w 3-yr Avg ''22-''24'!$B:$B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1" l="1"/>
  <c r="D140" i="20"/>
  <c r="D139" i="20"/>
  <c r="D138" i="20"/>
  <c r="D137" i="20"/>
  <c r="D136" i="20"/>
  <c r="H74" i="20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9" i="21"/>
  <c r="D63" i="21"/>
  <c r="C63" i="21"/>
  <c r="H33" i="18"/>
  <c r="H24" i="18"/>
  <c r="H17" i="18"/>
  <c r="H16" i="18"/>
  <c r="H15" i="18"/>
  <c r="H9" i="18"/>
  <c r="D43" i="18"/>
  <c r="H43" i="18" l="1"/>
  <c r="I39" i="21" l="1"/>
  <c r="C143" i="22"/>
  <c r="F128" i="20"/>
  <c r="D141" i="20"/>
  <c r="E137" i="20" s="1"/>
  <c r="D89" i="20" s="1"/>
  <c r="E136" i="20" l="1"/>
  <c r="D84" i="20" s="1"/>
  <c r="E140" i="20"/>
  <c r="D104" i="20" s="1"/>
  <c r="E139" i="20"/>
  <c r="D100" i="20" s="1"/>
  <c r="E138" i="20"/>
  <c r="D92" i="20" s="1"/>
  <c r="D101" i="20" l="1"/>
  <c r="D85" i="20"/>
  <c r="I25" i="21" l="1"/>
  <c r="I24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9" i="21"/>
  <c r="I63" i="21" l="1"/>
  <c r="H36" i="18"/>
  <c r="H5" i="21" s="1"/>
  <c r="D4" i="20"/>
  <c r="E5" i="21" l="1"/>
  <c r="C131" i="22"/>
  <c r="V63" i="21" l="1"/>
  <c r="E8" i="20" l="1"/>
  <c r="D91" i="20" l="1"/>
  <c r="D93" i="20" s="1"/>
  <c r="D109" i="20" l="1"/>
  <c r="D110" i="20" s="1"/>
  <c r="D96" i="20" l="1"/>
  <c r="D97" i="20" s="1"/>
  <c r="E43" i="18" l="1"/>
  <c r="D98" i="20" l="1"/>
  <c r="D99" i="20" s="1"/>
  <c r="D102" i="20"/>
  <c r="D105" i="20" s="1"/>
  <c r="D106" i="20"/>
  <c r="D108" i="20" s="1"/>
  <c r="D111" i="20"/>
  <c r="D112" i="20" s="1"/>
  <c r="D113" i="20"/>
  <c r="D114" i="20" s="1"/>
  <c r="D115" i="20"/>
  <c r="D117" i="20" s="1"/>
  <c r="D118" i="20"/>
  <c r="D119" i="20" s="1"/>
  <c r="D120" i="20"/>
  <c r="D121" i="20" s="1"/>
  <c r="D122" i="20"/>
  <c r="D123" i="20" s="1"/>
  <c r="D124" i="20"/>
  <c r="D125" i="20" s="1"/>
  <c r="D126" i="20"/>
  <c r="D127" i="20" s="1"/>
  <c r="D94" i="20"/>
  <c r="D95" i="20" s="1"/>
  <c r="D82" i="20"/>
  <c r="D83" i="20" s="1"/>
  <c r="D86" i="20"/>
  <c r="D87" i="20" s="1"/>
  <c r="D88" i="20"/>
  <c r="D90" i="20" s="1"/>
  <c r="D79" i="20"/>
  <c r="D81" i="20" s="1"/>
  <c r="D77" i="20"/>
  <c r="D78" i="20" l="1"/>
  <c r="D128" i="20" s="1"/>
  <c r="J43" i="18"/>
  <c r="D36" i="18" l="1"/>
  <c r="F108" i="22" l="1"/>
  <c r="E63" i="21" l="1"/>
  <c r="F25" i="21" l="1"/>
  <c r="F39" i="21"/>
  <c r="F30" i="21"/>
  <c r="F24" i="21"/>
  <c r="F34" i="21"/>
  <c r="F27" i="21"/>
  <c r="E7" i="20"/>
  <c r="J63" i="21" l="1"/>
  <c r="J72" i="21"/>
  <c r="J71" i="21"/>
  <c r="J70" i="21"/>
  <c r="C89" i="22"/>
  <c r="K25" i="21" l="1"/>
  <c r="K39" i="21"/>
  <c r="K30" i="21"/>
  <c r="K24" i="21"/>
  <c r="K17" i="21"/>
  <c r="K27" i="21"/>
  <c r="K21" i="21"/>
  <c r="K49" i="21"/>
  <c r="J73" i="21"/>
  <c r="K70" i="21" s="1"/>
  <c r="N31" i="21" s="1"/>
  <c r="K32" i="21"/>
  <c r="K33" i="21"/>
  <c r="K46" i="21"/>
  <c r="K31" i="21"/>
  <c r="K56" i="21"/>
  <c r="K23" i="21"/>
  <c r="K52" i="21"/>
  <c r="K57" i="21"/>
  <c r="K44" i="21"/>
  <c r="K60" i="21"/>
  <c r="K26" i="21"/>
  <c r="K58" i="21"/>
  <c r="K15" i="21"/>
  <c r="K45" i="21"/>
  <c r="K62" i="21"/>
  <c r="K40" i="21"/>
  <c r="K43" i="21"/>
  <c r="K41" i="21"/>
  <c r="K54" i="21"/>
  <c r="K50" i="21"/>
  <c r="K51" i="21"/>
  <c r="K10" i="21"/>
  <c r="K53" i="21"/>
  <c r="K18" i="21"/>
  <c r="K11" i="21"/>
  <c r="K55" i="21"/>
  <c r="K59" i="21"/>
  <c r="K61" i="21"/>
  <c r="K47" i="21"/>
  <c r="K13" i="21"/>
  <c r="K34" i="21"/>
  <c r="K48" i="21"/>
  <c r="K36" i="21"/>
  <c r="K42" i="21"/>
  <c r="K28" i="21"/>
  <c r="K19" i="21"/>
  <c r="K12" i="21"/>
  <c r="K35" i="21"/>
  <c r="K14" i="21"/>
  <c r="K16" i="21"/>
  <c r="K38" i="21"/>
  <c r="K29" i="21"/>
  <c r="K20" i="21"/>
  <c r="K37" i="21"/>
  <c r="K22" i="21"/>
  <c r="K9" i="21"/>
  <c r="P14" i="21" l="1"/>
  <c r="P35" i="21"/>
  <c r="P21" i="21"/>
  <c r="P22" i="21"/>
  <c r="P12" i="21"/>
  <c r="P47" i="21"/>
  <c r="P51" i="21"/>
  <c r="P15" i="21"/>
  <c r="P56" i="21"/>
  <c r="D14" i="20"/>
  <c r="I14" i="20" s="1"/>
  <c r="P27" i="21"/>
  <c r="P53" i="21"/>
  <c r="P50" i="21"/>
  <c r="P17" i="21"/>
  <c r="P49" i="21"/>
  <c r="P23" i="21"/>
  <c r="P37" i="21"/>
  <c r="P20" i="21"/>
  <c r="P46" i="21"/>
  <c r="P52" i="21"/>
  <c r="P13" i="21"/>
  <c r="P58" i="21"/>
  <c r="P54" i="21"/>
  <c r="P24" i="21"/>
  <c r="P29" i="21"/>
  <c r="P42" i="21"/>
  <c r="P55" i="21"/>
  <c r="P41" i="21"/>
  <c r="P60" i="21"/>
  <c r="P33" i="21"/>
  <c r="D63" i="20"/>
  <c r="P30" i="21"/>
  <c r="P34" i="21"/>
  <c r="P9" i="21"/>
  <c r="P45" i="21"/>
  <c r="P61" i="21"/>
  <c r="P28" i="21"/>
  <c r="P26" i="21"/>
  <c r="P36" i="21"/>
  <c r="P11" i="21"/>
  <c r="P43" i="21"/>
  <c r="P44" i="21"/>
  <c r="P32" i="21"/>
  <c r="P39" i="21"/>
  <c r="D65" i="20"/>
  <c r="P62" i="21"/>
  <c r="P10" i="21"/>
  <c r="P19" i="21"/>
  <c r="P31" i="21"/>
  <c r="P59" i="21"/>
  <c r="P38" i="21"/>
  <c r="P16" i="21"/>
  <c r="P48" i="21"/>
  <c r="P18" i="21"/>
  <c r="P40" i="21"/>
  <c r="P57" i="21"/>
  <c r="P25" i="21"/>
  <c r="D64" i="20"/>
  <c r="K71" i="21"/>
  <c r="K72" i="21"/>
  <c r="N28" i="19"/>
  <c r="N54" i="21" l="1"/>
  <c r="N22" i="21"/>
  <c r="K73" i="21"/>
  <c r="G20" i="20"/>
  <c r="C86" i="22"/>
  <c r="M28" i="19"/>
  <c r="O8" i="19"/>
  <c r="C20" i="22"/>
  <c r="C28" i="22" s="1"/>
  <c r="C29" i="22"/>
  <c r="C38" i="22"/>
  <c r="C39" i="22"/>
  <c r="C44" i="22"/>
  <c r="C75" i="22"/>
  <c r="X63" i="21"/>
  <c r="W63" i="21"/>
  <c r="U63" i="21"/>
  <c r="T63" i="21"/>
  <c r="L28" i="19"/>
  <c r="C9" i="19"/>
  <c r="C10" i="19"/>
  <c r="C15" i="19"/>
  <c r="C20" i="19"/>
  <c r="C21" i="19"/>
  <c r="D9" i="19"/>
  <c r="D10" i="19"/>
  <c r="D15" i="19"/>
  <c r="D20" i="19"/>
  <c r="D21" i="19"/>
  <c r="E9" i="19"/>
  <c r="E10" i="19"/>
  <c r="E15" i="19"/>
  <c r="E20" i="19"/>
  <c r="E21" i="19"/>
  <c r="F10" i="19"/>
  <c r="F15" i="19"/>
  <c r="F21" i="19"/>
  <c r="G28" i="19"/>
  <c r="H28" i="19"/>
  <c r="I28" i="19"/>
  <c r="J28" i="19"/>
  <c r="K28" i="19"/>
  <c r="G63" i="21"/>
  <c r="G28" i="20" l="1"/>
  <c r="G68" i="20" s="1"/>
  <c r="N63" i="21"/>
  <c r="G39" i="20"/>
  <c r="H25" i="21"/>
  <c r="H39" i="21"/>
  <c r="H30" i="21"/>
  <c r="H24" i="21"/>
  <c r="H34" i="21"/>
  <c r="H27" i="21"/>
  <c r="D62" i="20"/>
  <c r="H10" i="21"/>
  <c r="H14" i="21"/>
  <c r="H18" i="21"/>
  <c r="H22" i="21"/>
  <c r="H28" i="21"/>
  <c r="H33" i="21"/>
  <c r="H38" i="21"/>
  <c r="H43" i="21"/>
  <c r="H47" i="21"/>
  <c r="H51" i="21"/>
  <c r="H55" i="21"/>
  <c r="H59" i="21"/>
  <c r="H9" i="21"/>
  <c r="H15" i="21"/>
  <c r="H29" i="21"/>
  <c r="H40" i="21"/>
  <c r="H52" i="21"/>
  <c r="H60" i="21"/>
  <c r="H16" i="21"/>
  <c r="H31" i="21"/>
  <c r="H41" i="21"/>
  <c r="H49" i="21"/>
  <c r="H57" i="21"/>
  <c r="H13" i="21"/>
  <c r="H17" i="21"/>
  <c r="H21" i="21"/>
  <c r="H26" i="21"/>
  <c r="H32" i="21"/>
  <c r="H37" i="21"/>
  <c r="H42" i="21"/>
  <c r="H46" i="21"/>
  <c r="H50" i="21"/>
  <c r="H54" i="21"/>
  <c r="H58" i="21"/>
  <c r="H62" i="21"/>
  <c r="H11" i="21"/>
  <c r="H19" i="21"/>
  <c r="H23" i="21"/>
  <c r="H35" i="21"/>
  <c r="H44" i="21"/>
  <c r="H48" i="21"/>
  <c r="H56" i="21"/>
  <c r="H12" i="21"/>
  <c r="H20" i="21"/>
  <c r="H36" i="21"/>
  <c r="H45" i="21"/>
  <c r="H53" i="21"/>
  <c r="H61" i="21"/>
  <c r="F12" i="21"/>
  <c r="F16" i="21"/>
  <c r="F20" i="21"/>
  <c r="F31" i="21"/>
  <c r="F36" i="21"/>
  <c r="F41" i="21"/>
  <c r="F45" i="21"/>
  <c r="F49" i="21"/>
  <c r="F53" i="21"/>
  <c r="F57" i="21"/>
  <c r="F61" i="21"/>
  <c r="F15" i="21"/>
  <c r="F29" i="21"/>
  <c r="F44" i="21"/>
  <c r="F56" i="21"/>
  <c r="F13" i="21"/>
  <c r="F17" i="21"/>
  <c r="F21" i="21"/>
  <c r="F26" i="21"/>
  <c r="F32" i="21"/>
  <c r="F37" i="21"/>
  <c r="F42" i="21"/>
  <c r="F46" i="21"/>
  <c r="F50" i="21"/>
  <c r="F54" i="21"/>
  <c r="F58" i="21"/>
  <c r="F62" i="21"/>
  <c r="F19" i="21"/>
  <c r="F35" i="21"/>
  <c r="F48" i="21"/>
  <c r="F60" i="21"/>
  <c r="F10" i="21"/>
  <c r="F14" i="21"/>
  <c r="F18" i="21"/>
  <c r="F22" i="21"/>
  <c r="F28" i="21"/>
  <c r="F33" i="21"/>
  <c r="F38" i="21"/>
  <c r="F43" i="21"/>
  <c r="F47" i="21"/>
  <c r="F51" i="21"/>
  <c r="F55" i="21"/>
  <c r="F59" i="21"/>
  <c r="F9" i="21"/>
  <c r="F11" i="21"/>
  <c r="F23" i="21"/>
  <c r="F40" i="21"/>
  <c r="F52" i="21"/>
  <c r="D38" i="20"/>
  <c r="I38" i="20" s="1"/>
  <c r="D30" i="20"/>
  <c r="I30" i="20" s="1"/>
  <c r="D61" i="20"/>
  <c r="D32" i="20"/>
  <c r="I32" i="20" s="1"/>
  <c r="D40" i="20"/>
  <c r="I40" i="20" s="1"/>
  <c r="D57" i="20"/>
  <c r="I57" i="20" s="1"/>
  <c r="D23" i="20"/>
  <c r="I23" i="20" s="1"/>
  <c r="D33" i="20"/>
  <c r="I33" i="20" s="1"/>
  <c r="D11" i="20"/>
  <c r="D36" i="20"/>
  <c r="I36" i="20" s="1"/>
  <c r="D25" i="20"/>
  <c r="I25" i="20" s="1"/>
  <c r="D15" i="20"/>
  <c r="I15" i="20" s="1"/>
  <c r="D60" i="20"/>
  <c r="I60" i="20" s="1"/>
  <c r="D18" i="20"/>
  <c r="I18" i="20" s="1"/>
  <c r="D48" i="20"/>
  <c r="I48" i="20" s="1"/>
  <c r="D50" i="20"/>
  <c r="I50" i="20" s="1"/>
  <c r="D53" i="20"/>
  <c r="I53" i="20" s="1"/>
  <c r="D46" i="20"/>
  <c r="I46" i="20" s="1"/>
  <c r="D52" i="20"/>
  <c r="I52" i="20" s="1"/>
  <c r="D24" i="20"/>
  <c r="I24" i="20" s="1"/>
  <c r="D42" i="20"/>
  <c r="I42" i="20" s="1"/>
  <c r="D56" i="20"/>
  <c r="I56" i="20" s="1"/>
  <c r="D34" i="20"/>
  <c r="I34" i="20" s="1"/>
  <c r="D21" i="20"/>
  <c r="I21" i="20" s="1"/>
  <c r="D29" i="20"/>
  <c r="I29" i="20" s="1"/>
  <c r="D19" i="20"/>
  <c r="I19" i="20" s="1"/>
  <c r="D54" i="20"/>
  <c r="I54" i="20" s="1"/>
  <c r="D49" i="20"/>
  <c r="I49" i="20" s="1"/>
  <c r="D51" i="20"/>
  <c r="I51" i="20" s="1"/>
  <c r="D22" i="20"/>
  <c r="I22" i="20" s="1"/>
  <c r="D39" i="20"/>
  <c r="I39" i="20" s="1"/>
  <c r="D59" i="20"/>
  <c r="I59" i="20" s="1"/>
  <c r="D44" i="20"/>
  <c r="I44" i="20" s="1"/>
  <c r="D13" i="20"/>
  <c r="I13" i="20" s="1"/>
  <c r="D12" i="20"/>
  <c r="I12" i="20" s="1"/>
  <c r="D16" i="20"/>
  <c r="I16" i="20" s="1"/>
  <c r="D27" i="20"/>
  <c r="I27" i="20" s="1"/>
  <c r="D17" i="20"/>
  <c r="I17" i="20" s="1"/>
  <c r="D28" i="20"/>
  <c r="I28" i="20" s="1"/>
  <c r="D35" i="20"/>
  <c r="I35" i="20" s="1"/>
  <c r="D31" i="20"/>
  <c r="I31" i="20" s="1"/>
  <c r="D55" i="20"/>
  <c r="I55" i="20" s="1"/>
  <c r="D45" i="20"/>
  <c r="I45" i="20" s="1"/>
  <c r="D41" i="20"/>
  <c r="I41" i="20" s="1"/>
  <c r="D58" i="20"/>
  <c r="I58" i="20" s="1"/>
  <c r="D20" i="20"/>
  <c r="I20" i="20" s="1"/>
  <c r="D37" i="20"/>
  <c r="I37" i="20" s="1"/>
  <c r="D47" i="20"/>
  <c r="I47" i="20" s="1"/>
  <c r="D43" i="20"/>
  <c r="I43" i="20" s="1"/>
  <c r="E20" i="22"/>
  <c r="F25" i="19"/>
  <c r="F28" i="19" s="1"/>
  <c r="O10" i="19"/>
  <c r="O20" i="19"/>
  <c r="E25" i="19"/>
  <c r="E28" i="19" s="1"/>
  <c r="O15" i="19"/>
  <c r="D25" i="19"/>
  <c r="D28" i="19" s="1"/>
  <c r="O21" i="19"/>
  <c r="O9" i="19"/>
  <c r="I26" i="20"/>
  <c r="C25" i="19"/>
  <c r="J9" i="20"/>
  <c r="E28" i="22"/>
  <c r="C43" i="22"/>
  <c r="J64" i="20" l="1"/>
  <c r="J65" i="20"/>
  <c r="F14" i="20"/>
  <c r="J62" i="20"/>
  <c r="J63" i="20"/>
  <c r="J14" i="20"/>
  <c r="J58" i="20"/>
  <c r="F63" i="21"/>
  <c r="O25" i="19"/>
  <c r="O28" i="19" s="1"/>
  <c r="C28" i="19"/>
  <c r="C30" i="19" s="1"/>
  <c r="D30" i="19" s="1"/>
  <c r="E30" i="19" s="1"/>
  <c r="F30" i="19" s="1"/>
  <c r="G30" i="19" s="1"/>
  <c r="H30" i="19" s="1"/>
  <c r="I30" i="19" s="1"/>
  <c r="J30" i="19" s="1"/>
  <c r="K30" i="19" s="1"/>
  <c r="L30" i="19" s="1"/>
  <c r="M30" i="19" s="1"/>
  <c r="N30" i="19" s="1"/>
  <c r="H63" i="21"/>
  <c r="K63" i="21"/>
  <c r="J19" i="20"/>
  <c r="J15" i="20"/>
  <c r="J17" i="20"/>
  <c r="J48" i="20"/>
  <c r="J21" i="20"/>
  <c r="J33" i="20"/>
  <c r="J18" i="20"/>
  <c r="J43" i="20"/>
  <c r="J22" i="20"/>
  <c r="J59" i="20"/>
  <c r="J60" i="20"/>
  <c r="J46" i="20"/>
  <c r="J57" i="20"/>
  <c r="J20" i="20"/>
  <c r="J35" i="20"/>
  <c r="J45" i="20"/>
  <c r="J37" i="20"/>
  <c r="J11" i="20"/>
  <c r="J41" i="20"/>
  <c r="J30" i="20"/>
  <c r="J42" i="20"/>
  <c r="J56" i="20"/>
  <c r="J47" i="20"/>
  <c r="J25" i="20"/>
  <c r="J55" i="20"/>
  <c r="J32" i="20"/>
  <c r="J31" i="20"/>
  <c r="J50" i="20"/>
  <c r="J51" i="20"/>
  <c r="J34" i="20"/>
  <c r="J40" i="20"/>
  <c r="J54" i="20"/>
  <c r="J39" i="20"/>
  <c r="J26" i="20"/>
  <c r="J24" i="20"/>
  <c r="J16" i="20"/>
  <c r="J49" i="20"/>
  <c r="J38" i="20"/>
  <c r="J44" i="20"/>
  <c r="J36" i="20"/>
  <c r="J61" i="20"/>
  <c r="J27" i="20"/>
  <c r="J53" i="20"/>
  <c r="J13" i="20"/>
  <c r="J28" i="20"/>
  <c r="J52" i="20"/>
  <c r="J23" i="20"/>
  <c r="J12" i="20"/>
  <c r="J29" i="20"/>
  <c r="C54" i="22"/>
  <c r="E43" i="22"/>
  <c r="P63" i="21" l="1"/>
  <c r="I11" i="20"/>
  <c r="I68" i="20" s="1"/>
  <c r="D68" i="20"/>
  <c r="J68" i="20"/>
  <c r="C60" i="22"/>
  <c r="E60" i="22" s="1"/>
  <c r="C69" i="22" s="1"/>
  <c r="E69" i="22" s="1"/>
  <c r="C76" i="22" s="1"/>
  <c r="E54" i="22"/>
  <c r="C82" i="22" l="1"/>
  <c r="E76" i="22"/>
  <c r="E82" i="22" l="1"/>
  <c r="C91" i="22" l="1"/>
  <c r="E91" i="22" l="1"/>
  <c r="C97" i="22"/>
  <c r="C102" i="22" s="1"/>
  <c r="E102" i="22" l="1"/>
  <c r="C108" i="22"/>
  <c r="C114" i="22" s="1"/>
  <c r="E97" i="22"/>
  <c r="E114" i="22" l="1"/>
  <c r="C120" i="22"/>
  <c r="E108" i="22"/>
  <c r="E120" i="22" l="1"/>
  <c r="C126" i="22"/>
  <c r="E126" i="22" l="1"/>
  <c r="C133" i="22"/>
  <c r="C140" i="22" l="1"/>
  <c r="E133" i="22"/>
  <c r="E140" i="22" l="1"/>
  <c r="C147" i="22"/>
  <c r="C154" i="22" l="1"/>
  <c r="E147" i="22"/>
  <c r="C161" i="22" l="1"/>
  <c r="E154" i="22"/>
  <c r="C168" i="22" l="1"/>
  <c r="D47" i="18"/>
  <c r="F47" i="18"/>
  <c r="E161" i="22"/>
  <c r="D5" i="20"/>
  <c r="D6" i="20" s="1"/>
  <c r="E29" i="20" s="1"/>
  <c r="G5" i="21"/>
  <c r="L11" i="21" s="1"/>
  <c r="L46" i="21" l="1"/>
  <c r="M46" i="21" s="1"/>
  <c r="L52" i="21"/>
  <c r="M52" i="21" s="1"/>
  <c r="L10" i="21"/>
  <c r="M10" i="21" s="1"/>
  <c r="O10" i="21" s="1"/>
  <c r="L32" i="21"/>
  <c r="M32" i="21" s="1"/>
  <c r="O32" i="21" s="1"/>
  <c r="L56" i="21"/>
  <c r="M56" i="21" s="1"/>
  <c r="O56" i="21" s="1"/>
  <c r="L13" i="21"/>
  <c r="M13" i="21" s="1"/>
  <c r="L21" i="21"/>
  <c r="M21" i="21" s="1"/>
  <c r="O21" i="21" s="1"/>
  <c r="L27" i="21"/>
  <c r="O27" i="21" s="1"/>
  <c r="Q27" i="21" s="1"/>
  <c r="L23" i="21"/>
  <c r="L43" i="21"/>
  <c r="M43" i="21" s="1"/>
  <c r="L58" i="21"/>
  <c r="L15" i="21"/>
  <c r="M15" i="21" s="1"/>
  <c r="L17" i="21"/>
  <c r="M17" i="21" s="1"/>
  <c r="O17" i="21" s="1"/>
  <c r="L61" i="21"/>
  <c r="M61" i="21" s="1"/>
  <c r="O61" i="21" s="1"/>
  <c r="Q61" i="21" s="1"/>
  <c r="E168" i="22"/>
  <c r="H47" i="18"/>
  <c r="E58" i="20"/>
  <c r="F58" i="20" s="1"/>
  <c r="H58" i="20" s="1"/>
  <c r="K58" i="20" s="1"/>
  <c r="E13" i="20"/>
  <c r="F13" i="20" s="1"/>
  <c r="H13" i="20" s="1"/>
  <c r="K13" i="20" s="1"/>
  <c r="E42" i="20"/>
  <c r="F42" i="20" s="1"/>
  <c r="H42" i="20" s="1"/>
  <c r="K42" i="20" s="1"/>
  <c r="E24" i="20"/>
  <c r="F24" i="20" s="1"/>
  <c r="H24" i="20" s="1"/>
  <c r="K24" i="20" s="1"/>
  <c r="F29" i="20"/>
  <c r="H29" i="20" s="1"/>
  <c r="K29" i="20" s="1"/>
  <c r="E61" i="20"/>
  <c r="E28" i="20"/>
  <c r="E60" i="20"/>
  <c r="E32" i="20"/>
  <c r="E25" i="20"/>
  <c r="E30" i="20"/>
  <c r="E49" i="20"/>
  <c r="E57" i="20"/>
  <c r="E46" i="20"/>
  <c r="E20" i="20"/>
  <c r="E51" i="20"/>
  <c r="E43" i="20"/>
  <c r="E12" i="20"/>
  <c r="E39" i="20"/>
  <c r="E16" i="20"/>
  <c r="E31" i="20"/>
  <c r="E38" i="20"/>
  <c r="E34" i="20"/>
  <c r="K9" i="20"/>
  <c r="E40" i="20"/>
  <c r="E23" i="20"/>
  <c r="E65" i="20"/>
  <c r="E45" i="20"/>
  <c r="E56" i="20"/>
  <c r="E33" i="20"/>
  <c r="E27" i="20"/>
  <c r="E15" i="20"/>
  <c r="E54" i="20"/>
  <c r="E22" i="20"/>
  <c r="E64" i="20"/>
  <c r="E44" i="20"/>
  <c r="E11" i="20"/>
  <c r="E17" i="20"/>
  <c r="E21" i="20"/>
  <c r="E53" i="20"/>
  <c r="E26" i="20"/>
  <c r="E55" i="20"/>
  <c r="E50" i="20"/>
  <c r="E59" i="20"/>
  <c r="E36" i="20"/>
  <c r="E48" i="20"/>
  <c r="E35" i="20"/>
  <c r="E63" i="20"/>
  <c r="E37" i="20"/>
  <c r="E52" i="20"/>
  <c r="E18" i="20"/>
  <c r="E14" i="20"/>
  <c r="H14" i="20" s="1"/>
  <c r="K14" i="20" s="1"/>
  <c r="M11" i="21"/>
  <c r="O11" i="21" s="1"/>
  <c r="E41" i="20"/>
  <c r="E62" i="20"/>
  <c r="E47" i="20"/>
  <c r="E19" i="20"/>
  <c r="L39" i="21"/>
  <c r="L14" i="21"/>
  <c r="L19" i="21"/>
  <c r="L62" i="21"/>
  <c r="L48" i="21"/>
  <c r="L59" i="21"/>
  <c r="L35" i="21"/>
  <c r="L25" i="21"/>
  <c r="L44" i="21"/>
  <c r="L12" i="21"/>
  <c r="L33" i="21"/>
  <c r="L38" i="21"/>
  <c r="L30" i="21"/>
  <c r="L24" i="21"/>
  <c r="L53" i="21"/>
  <c r="L49" i="21"/>
  <c r="L26" i="21"/>
  <c r="L42" i="21"/>
  <c r="L28" i="21"/>
  <c r="L55" i="21"/>
  <c r="L45" i="21"/>
  <c r="L50" i="21"/>
  <c r="L54" i="21"/>
  <c r="L20" i="21"/>
  <c r="L40" i="21"/>
  <c r="L22" i="21"/>
  <c r="L37" i="21"/>
  <c r="L9" i="21"/>
  <c r="L60" i="21"/>
  <c r="L57" i="21"/>
  <c r="L29" i="21"/>
  <c r="L31" i="21"/>
  <c r="L34" i="21"/>
  <c r="L47" i="21"/>
  <c r="L51" i="21"/>
  <c r="L18" i="21"/>
  <c r="L41" i="21"/>
  <c r="L36" i="21"/>
  <c r="L16" i="21"/>
  <c r="O43" i="21" l="1"/>
  <c r="O46" i="21"/>
  <c r="O52" i="21"/>
  <c r="Q52" i="21" s="1"/>
  <c r="R27" i="21"/>
  <c r="O13" i="21"/>
  <c r="M23" i="21"/>
  <c r="O23" i="21" s="1"/>
  <c r="R56" i="21"/>
  <c r="Q56" i="21"/>
  <c r="O15" i="21"/>
  <c r="R15" i="21" s="1"/>
  <c r="M58" i="21"/>
  <c r="O58" i="21" s="1"/>
  <c r="R61" i="21"/>
  <c r="Q11" i="21"/>
  <c r="R11" i="21"/>
  <c r="R17" i="21"/>
  <c r="Q17" i="21"/>
  <c r="M33" i="21"/>
  <c r="O33" i="21" s="1"/>
  <c r="F31" i="20"/>
  <c r="H31" i="20" s="1"/>
  <c r="K31" i="20" s="1"/>
  <c r="R32" i="21"/>
  <c r="Q32" i="21"/>
  <c r="M40" i="21"/>
  <c r="O40" i="21" s="1"/>
  <c r="F45" i="20"/>
  <c r="H45" i="20" s="1"/>
  <c r="K45" i="20" s="1"/>
  <c r="M49" i="21"/>
  <c r="O49" i="21" s="1"/>
  <c r="F30" i="20"/>
  <c r="H30" i="20" s="1"/>
  <c r="K30" i="20" s="1"/>
  <c r="M16" i="21"/>
  <c r="O16" i="21" s="1"/>
  <c r="M29" i="21"/>
  <c r="O29" i="21" s="1"/>
  <c r="M54" i="21"/>
  <c r="O54" i="21" s="1"/>
  <c r="M53" i="21"/>
  <c r="O53" i="21" s="1"/>
  <c r="M25" i="21"/>
  <c r="O25" i="21" s="1"/>
  <c r="F19" i="20"/>
  <c r="H19" i="20" s="1"/>
  <c r="K19" i="20" s="1"/>
  <c r="R10" i="21"/>
  <c r="Q10" i="21"/>
  <c r="F55" i="20"/>
  <c r="H55" i="20" s="1"/>
  <c r="K55" i="20" s="1"/>
  <c r="F22" i="20"/>
  <c r="H22" i="20" s="1"/>
  <c r="K22" i="20" s="1"/>
  <c r="F23" i="20"/>
  <c r="H23" i="20" s="1"/>
  <c r="K23" i="20" s="1"/>
  <c r="F12" i="20"/>
  <c r="H12" i="20" s="1"/>
  <c r="K12" i="20" s="1"/>
  <c r="F25" i="20"/>
  <c r="H25" i="20" s="1"/>
  <c r="K25" i="20" s="1"/>
  <c r="F61" i="20"/>
  <c r="H61" i="20" s="1"/>
  <c r="K61" i="20" s="1"/>
  <c r="M22" i="21"/>
  <c r="O22" i="21" s="1"/>
  <c r="F41" i="20"/>
  <c r="H41" i="20" s="1"/>
  <c r="K41" i="20" s="1"/>
  <c r="F11" i="20"/>
  <c r="E68" i="20"/>
  <c r="M35" i="21"/>
  <c r="O35" i="21" s="1"/>
  <c r="M24" i="21"/>
  <c r="O24" i="21" s="1"/>
  <c r="F47" i="20"/>
  <c r="H47" i="20" s="1"/>
  <c r="K47" i="20" s="1"/>
  <c r="F37" i="20"/>
  <c r="H37" i="20" s="1"/>
  <c r="K37" i="20" s="1"/>
  <c r="F40" i="20"/>
  <c r="H40" i="20" s="1"/>
  <c r="K40" i="20" s="1"/>
  <c r="R13" i="21"/>
  <c r="Q13" i="21"/>
  <c r="R46" i="21"/>
  <c r="Q46" i="21"/>
  <c r="F63" i="20"/>
  <c r="H63" i="20" s="1"/>
  <c r="K63" i="20" s="1"/>
  <c r="F53" i="20"/>
  <c r="H53" i="20" s="1"/>
  <c r="K53" i="20" s="1"/>
  <c r="F15" i="20"/>
  <c r="H15" i="20" s="1"/>
  <c r="K15" i="20" s="1"/>
  <c r="F51" i="20"/>
  <c r="H51" i="20" s="1"/>
  <c r="K51" i="20" s="1"/>
  <c r="F60" i="20"/>
  <c r="H60" i="20" s="1"/>
  <c r="K60" i="20" s="1"/>
  <c r="M19" i="21"/>
  <c r="O19" i="21" s="1"/>
  <c r="F36" i="20"/>
  <c r="H36" i="20" s="1"/>
  <c r="K36" i="20" s="1"/>
  <c r="F57" i="20"/>
  <c r="H57" i="20" s="1"/>
  <c r="K57" i="20" s="1"/>
  <c r="M26" i="21"/>
  <c r="O26" i="21" s="1"/>
  <c r="M12" i="21"/>
  <c r="O12" i="21" s="1"/>
  <c r="F59" i="20"/>
  <c r="H59" i="20" s="1"/>
  <c r="K59" i="20" s="1"/>
  <c r="F44" i="20"/>
  <c r="H44" i="20" s="1"/>
  <c r="K44" i="20" s="1"/>
  <c r="F49" i="20"/>
  <c r="H49" i="20" s="1"/>
  <c r="K49" i="20" s="1"/>
  <c r="M31" i="21"/>
  <c r="O31" i="21" s="1"/>
  <c r="M44" i="21"/>
  <c r="O44" i="21" s="1"/>
  <c r="F50" i="20"/>
  <c r="H50" i="20" s="1"/>
  <c r="K50" i="20" s="1"/>
  <c r="F64" i="20"/>
  <c r="H64" i="20" s="1"/>
  <c r="K64" i="20" s="1"/>
  <c r="F65" i="20"/>
  <c r="H65" i="20" s="1"/>
  <c r="K65" i="20" s="1"/>
  <c r="F39" i="20"/>
  <c r="H39" i="20" s="1"/>
  <c r="K39" i="20" s="1"/>
  <c r="M36" i="21"/>
  <c r="O36" i="21" s="1"/>
  <c r="M50" i="21"/>
  <c r="O50" i="21" s="1"/>
  <c r="F26" i="20"/>
  <c r="H26" i="20" s="1"/>
  <c r="K26" i="20" s="1"/>
  <c r="F54" i="20"/>
  <c r="H54" i="20" s="1"/>
  <c r="K54" i="20" s="1"/>
  <c r="F32" i="20"/>
  <c r="H32" i="20" s="1"/>
  <c r="K32" i="20" s="1"/>
  <c r="M41" i="21"/>
  <c r="O41" i="21" s="1"/>
  <c r="M45" i="21"/>
  <c r="O45" i="21" s="1"/>
  <c r="M59" i="21"/>
  <c r="O59" i="21" s="1"/>
  <c r="M9" i="21"/>
  <c r="O9" i="21" s="1"/>
  <c r="L63" i="21"/>
  <c r="M55" i="21"/>
  <c r="O55" i="21" s="1"/>
  <c r="M30" i="21"/>
  <c r="O30" i="21" s="1"/>
  <c r="M48" i="21"/>
  <c r="O48" i="21" s="1"/>
  <c r="F35" i="20"/>
  <c r="H35" i="20" s="1"/>
  <c r="K35" i="20" s="1"/>
  <c r="F21" i="20"/>
  <c r="H21" i="20" s="1"/>
  <c r="K21" i="20" s="1"/>
  <c r="F27" i="20"/>
  <c r="H27" i="20" s="1"/>
  <c r="K27" i="20" s="1"/>
  <c r="F34" i="20"/>
  <c r="H34" i="20" s="1"/>
  <c r="K34" i="20" s="1"/>
  <c r="F20" i="20"/>
  <c r="H20" i="20" s="1"/>
  <c r="K20" i="20" s="1"/>
  <c r="F28" i="20"/>
  <c r="H28" i="20" s="1"/>
  <c r="K28" i="20" s="1"/>
  <c r="M47" i="21"/>
  <c r="O47" i="21" s="1"/>
  <c r="M42" i="21"/>
  <c r="O42" i="21" s="1"/>
  <c r="F52" i="20"/>
  <c r="H52" i="20" s="1"/>
  <c r="K52" i="20" s="1"/>
  <c r="F56" i="20"/>
  <c r="H56" i="20" s="1"/>
  <c r="K56" i="20" s="1"/>
  <c r="M34" i="21"/>
  <c r="O34" i="21" s="1"/>
  <c r="M14" i="21"/>
  <c r="O14" i="21" s="1"/>
  <c r="F16" i="20"/>
  <c r="H16" i="20" s="1"/>
  <c r="K16" i="20" s="1"/>
  <c r="M20" i="21"/>
  <c r="O20" i="21" s="1"/>
  <c r="M39" i="21"/>
  <c r="O39" i="21" s="1"/>
  <c r="M57" i="21"/>
  <c r="O57" i="21" s="1"/>
  <c r="F43" i="20"/>
  <c r="H43" i="20" s="1"/>
  <c r="K43" i="20" s="1"/>
  <c r="M60" i="21"/>
  <c r="O60" i="21" s="1"/>
  <c r="Q43" i="21"/>
  <c r="R43" i="21"/>
  <c r="M18" i="21"/>
  <c r="O18" i="21" s="1"/>
  <c r="M51" i="21"/>
  <c r="O51" i="21" s="1"/>
  <c r="M37" i="21"/>
  <c r="O37" i="21" s="1"/>
  <c r="M28" i="21"/>
  <c r="O28" i="21" s="1"/>
  <c r="M38" i="21"/>
  <c r="O38" i="21" s="1"/>
  <c r="M62" i="21"/>
  <c r="O62" i="21" s="1"/>
  <c r="F62" i="20"/>
  <c r="H62" i="20" s="1"/>
  <c r="K62" i="20" s="1"/>
  <c r="F18" i="20"/>
  <c r="H18" i="20" s="1"/>
  <c r="K18" i="20" s="1"/>
  <c r="F48" i="20"/>
  <c r="H48" i="20" s="1"/>
  <c r="K48" i="20" s="1"/>
  <c r="F17" i="20"/>
  <c r="H17" i="20" s="1"/>
  <c r="K17" i="20" s="1"/>
  <c r="F33" i="20"/>
  <c r="H33" i="20" s="1"/>
  <c r="K33" i="20" s="1"/>
  <c r="F38" i="20"/>
  <c r="H38" i="20" s="1"/>
  <c r="K38" i="20" s="1"/>
  <c r="F46" i="20"/>
  <c r="H46" i="20" s="1"/>
  <c r="K46" i="20" s="1"/>
  <c r="Q21" i="21"/>
  <c r="R21" i="21"/>
  <c r="R52" i="21" l="1"/>
  <c r="Q15" i="21"/>
  <c r="R23" i="21"/>
  <c r="Q23" i="21"/>
  <c r="R58" i="21"/>
  <c r="Q58" i="21"/>
  <c r="Q28" i="21"/>
  <c r="R28" i="21"/>
  <c r="R49" i="21"/>
  <c r="Q49" i="21"/>
  <c r="R25" i="21"/>
  <c r="Q25" i="21"/>
  <c r="R50" i="21"/>
  <c r="Q50" i="21"/>
  <c r="R30" i="21"/>
  <c r="Q30" i="21"/>
  <c r="R33" i="21"/>
  <c r="Q33" i="21"/>
  <c r="Q24" i="21"/>
  <c r="R24" i="21"/>
  <c r="R54" i="21"/>
  <c r="Q54" i="21"/>
  <c r="R45" i="21"/>
  <c r="Q45" i="21"/>
  <c r="Q12" i="21"/>
  <c r="R12" i="21"/>
  <c r="R29" i="21"/>
  <c r="Q29" i="21"/>
  <c r="R38" i="21"/>
  <c r="Q38" i="21"/>
  <c r="Q18" i="21"/>
  <c r="R18" i="21"/>
  <c r="Q26" i="21"/>
  <c r="R26" i="21"/>
  <c r="R60" i="21"/>
  <c r="Q60" i="21"/>
  <c r="Q19" i="21"/>
  <c r="R19" i="21"/>
  <c r="Q34" i="21"/>
  <c r="R34" i="21"/>
  <c r="Q44" i="21"/>
  <c r="R44" i="21"/>
  <c r="Q41" i="21"/>
  <c r="R41" i="21"/>
  <c r="Q22" i="21"/>
  <c r="R22" i="21"/>
  <c r="Q9" i="21"/>
  <c r="O63" i="21"/>
  <c r="R63" i="21" s="1"/>
  <c r="R9" i="21"/>
  <c r="Q36" i="21"/>
  <c r="R36" i="21"/>
  <c r="Q16" i="21"/>
  <c r="R16" i="21"/>
  <c r="R40" i="21"/>
  <c r="Q40" i="21"/>
  <c r="R37" i="21"/>
  <c r="Q37" i="21"/>
  <c r="R55" i="21"/>
  <c r="Q55" i="21"/>
  <c r="R51" i="21"/>
  <c r="Q51" i="21"/>
  <c r="M63" i="21"/>
  <c r="G6" i="21" s="1"/>
  <c r="Q14" i="21"/>
  <c r="R14" i="21"/>
  <c r="F68" i="20"/>
  <c r="Q39" i="21"/>
  <c r="R39" i="21"/>
  <c r="R47" i="21"/>
  <c r="Q47" i="21"/>
  <c r="H11" i="20"/>
  <c r="R20" i="21"/>
  <c r="Q20" i="21"/>
  <c r="R42" i="21"/>
  <c r="Q42" i="21"/>
  <c r="Q59" i="21"/>
  <c r="R59" i="21"/>
  <c r="R31" i="21"/>
  <c r="Q31" i="21"/>
  <c r="R35" i="21"/>
  <c r="Q35" i="21"/>
  <c r="Q62" i="21"/>
  <c r="R62" i="21"/>
  <c r="Q57" i="21"/>
  <c r="R57" i="21"/>
  <c r="Q48" i="21"/>
  <c r="R48" i="21"/>
  <c r="Q53" i="21"/>
  <c r="R53" i="21"/>
  <c r="K11" i="20" l="1"/>
  <c r="K68" i="20" s="1"/>
  <c r="H66" i="20"/>
  <c r="H68" i="20" s="1"/>
  <c r="Q6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D18" authorId="0" shapeId="0" xr:uid="{5D977F48-0EAA-46E8-82C1-60CDAFE66361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25% of BiblioCore cost</t>
        </r>
      </text>
    </comment>
    <comment ref="H18" authorId="0" shapeId="0" xr:uid="{C12AB360-EB30-459B-BFE1-DA05CAB9A02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25% of BiblioCore cost</t>
        </r>
      </text>
    </comment>
    <comment ref="D19" authorId="0" shapeId="0" xr:uid="{3CA7E45C-7E66-4E97-A84C-4A43DCC8275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Overestimate of 2025 costs; actual $3,300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5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7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</t>
        </r>
      </text>
    </comment>
    <comment ref="F8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 + Add'l Res of $4,975</t>
        </r>
      </text>
    </comment>
    <comment ref="C8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5,382.44 CO for Overdrive $ + </t>
        </r>
      </text>
    </comment>
    <comment ref="C8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 $12,000 Server Replacement Program $ to Reserves + 
</t>
        </r>
      </text>
    </comment>
    <comment ref="F9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9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224,000 + 35,990 for Boopsie expense</t>
        </r>
      </text>
    </comment>
    <comment ref="C1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Boobsie startup &amp; 1st yr subscription  -  likely credit on acct and will reallocate to new product</t>
        </r>
      </text>
    </comment>
    <comment ref="C130" authorId="0" shapeId="0" xr:uid="{FC5AFCED-E436-41DC-8181-9EFE01380A95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$13,500 Fairchild
$27,000 Durand
-  1,000 Est Fairchild 1/2 Year Maint (re start 7/1)</t>
        </r>
      </text>
    </comment>
    <comment ref="C137" authorId="1" shapeId="0" xr:uid="{76790D22-C27C-48CC-AD30-687CF6458F0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Cornell Startup (less 1/2 year maintenance)</t>
        </r>
      </text>
    </comment>
    <comment ref="C138" authorId="1" shapeId="0" xr:uid="{DB2EA43D-6261-4018-95CD-81DE344B310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[underspent from 2022]</t>
        </r>
      </text>
    </comment>
    <comment ref="C144" authorId="1" shapeId="0" xr:uid="{45964747-06E5-48D6-B7CC-757571B36F5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roholt:
Cornell start date: 7-1-2023
Cornell not included in 2023 MORE budget (2023 costs absorbed by MORE)
Half of 2024 costs to be included from startup, other half billed to library. Half = $2,979
$18,000 startup - $2,979 1/2 year maintenance = $15,021
</t>
        </r>
      </text>
    </comment>
    <comment ref="C151" authorId="1" shapeId="0" xr:uid="{69EC2F78-9216-49F9-A5DC-68E9DD2B2D70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Hawkins start date: 7-1-2024
Hawkins not included in 2024 MORE budget (2024 costs absorbed by MORE)
Half of 2025 costs to be included from startup, other half billed to library. Estimated half = $1,218
$18,000 startup - $1,218 1/2 year maintenance = $16,782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C79" authorId="0" shapeId="0" xr:uid="{887D44E7-C4A7-464D-BD1D-45DC5862A8E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Switched from Express Lane to SIP2 in Feb. 2022. Paid for 1 license, 2nd SIP2 license was part of 2021 year-end III BOGO deal when adding a license for CF.
Add 3rd license for first full-year locker maintenance in 2026</t>
        </r>
      </text>
    </comment>
    <comment ref="C88" authorId="0" shapeId="0" xr:uid="{0B721590-B566-4688-BEC3-2C7D07774498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CF added a 2nd self-check in November 2021. Charge for maintenance on 2 licenses beginning with 2023 budget</t>
        </r>
      </text>
    </comment>
    <comment ref="C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LEPMPL switching from 6 to 8 SIP2 licenses beginning 2023
Once license added in 2024, total = 9 (per paula, 12-12-2023)
</t>
        </r>
      </text>
    </comment>
    <comment ref="C115" authorId="0" shapeId="0" xr:uid="{6FD38C5E-74F4-4B82-93CD-ADAE52909A9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Adding 2nd self check, aug/sept 2024. 3rd maintenance to be added for 2026</t>
        </r>
      </text>
    </comment>
    <comment ref="C135" authorId="0" shapeId="0" xr:uid="{1A136D4F-3323-4152-9B3A-B142FE52B97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2025 estimated Collection Agency module cost for automated reporting from Sierra to UMS, to be split among 5 library users: $1867
2026 estimated Collection Agency module cost for automated reporting from Sierra to UMS, to be split among 5 library users by 2024 total circulation: $1942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M3" authorId="0" shapeId="0" xr:uid="{6B19725B-AD8B-4106-8334-DFD99C3128D2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see below for calculation</t>
        </r>
      </text>
    </comment>
    <comment ref="B25" authorId="1" shapeId="0" xr:uid="{C9002B4C-3B09-49DA-9C71-E79986CA75EE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MORE start date: 7-1-2023; to be charged for 1/2 of 2024 MORE costs. See Fairchild and CVTC for prior examples of showing that 1/2 year charge in this document
Used annual report figures for 2020-2022 items + circ</t>
        </r>
      </text>
    </comment>
    <comment ref="B27" authorId="1" shapeId="0" xr:uid="{5590DCE8-8C6C-4F25-9C78-3470CD0F719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"2021" counts are actually May 2020 item counts and 2019 circ.</t>
        </r>
      </text>
    </comment>
    <comment ref="B30" authorId="1" shapeId="0" xr:uid="{B8C1B241-174A-429B-978C-16AF0C14BB61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2021 figures from library's annual report</t>
        </r>
      </text>
    </comment>
    <comment ref="B39" authorId="1" shapeId="0" xr:uid="{BE8C8D15-B788-4E6A-A36D-5A0E3F5AD203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MORE start date: 7-1-2024; to be charged for 1/2 of 2025 MORE costs. See Fairchild, CVTC, and Cornell for prior examples of showing that 1/2 year charge in this document
Used annual report figures for 2021-2023 items + circ</t>
        </r>
      </text>
    </comment>
  </commentList>
</comments>
</file>

<file path=xl/sharedStrings.xml><?xml version="1.0" encoding="utf-8"?>
<sst xmlns="http://schemas.openxmlformats.org/spreadsheetml/2006/main" count="577" uniqueCount="452">
  <si>
    <t>MORE Shared Automation System</t>
  </si>
  <si>
    <t xml:space="preserve">Line  </t>
  </si>
  <si>
    <t>Revised</t>
  </si>
  <si>
    <t>#</t>
  </si>
  <si>
    <t>Line Item Description</t>
  </si>
  <si>
    <t>Revisions</t>
  </si>
  <si>
    <t>Annual Maintenance - Innovative</t>
  </si>
  <si>
    <t>Innovative/Other Products:</t>
  </si>
  <si>
    <t>Host Site Expenses:</t>
  </si>
  <si>
    <t>Meetings &amp; Training Expenses:</t>
  </si>
  <si>
    <t>Conferences</t>
  </si>
  <si>
    <t>Miscellaneous Expenses:</t>
  </si>
  <si>
    <t>Publicity - Promo Items &amp; Train Mtls</t>
  </si>
  <si>
    <t>Bibliographic Utility</t>
    <phoneticPr fontId="0" type="noConversion"/>
  </si>
  <si>
    <t>Operating Contingency</t>
  </si>
  <si>
    <t>Content/Materials Purchases:</t>
  </si>
  <si>
    <t>WPLC E-Content Buying Pool</t>
  </si>
  <si>
    <t>OverDrive Content</t>
  </si>
  <si>
    <t xml:space="preserve">   Total Content/Material Purchases</t>
  </si>
  <si>
    <t>Reserves/Carryover:</t>
  </si>
  <si>
    <t xml:space="preserve">To Reserves - Hardware </t>
  </si>
  <si>
    <t xml:space="preserve">To Reserves - Software </t>
  </si>
  <si>
    <t>To Reserves - System Contingency</t>
  </si>
  <si>
    <t>Operating Exp from Carryover/Reserves</t>
  </si>
  <si>
    <t>TOTAL COSTS  (to be billed)</t>
  </si>
  <si>
    <t>Total Funds/Billed to MORE Libs</t>
  </si>
  <si>
    <t>Est.  Uncommitted Carryover @ End of Year</t>
  </si>
  <si>
    <t>see "Carryover" tab for Estimate</t>
  </si>
  <si>
    <t>Uncommitted Funds Summary:</t>
  </si>
  <si>
    <t>Reserves</t>
  </si>
  <si>
    <t>Reserve Bal =</t>
  </si>
  <si>
    <t>MORE Equity @ 12/31/05</t>
  </si>
  <si>
    <t xml:space="preserve">   Less Reserves</t>
  </si>
  <si>
    <t xml:space="preserve">   Less 2006 Projects from Carryover</t>
  </si>
  <si>
    <t xml:space="preserve">   Plus Rice Lake Balance Startup</t>
  </si>
  <si>
    <t xml:space="preserve">   Plus Chetek Startup</t>
  </si>
  <si>
    <t xml:space="preserve">   Plus Augusta Startup</t>
  </si>
  <si>
    <t xml:space="preserve">   Plus Plum City Startup</t>
  </si>
  <si>
    <t xml:space="preserve">   Plus Cadott Startup</t>
  </si>
  <si>
    <t xml:space="preserve">   Less Innovative Startup Costs</t>
  </si>
  <si>
    <t xml:space="preserve">   Less Rice Lk Maint Jan-Jun '06</t>
  </si>
  <si>
    <t xml:space="preserve">   Adj to Close Books @ end of 2006</t>
  </si>
  <si>
    <t>MORE Equity (less Reserves) @ 12/31/06</t>
  </si>
  <si>
    <t xml:space="preserve">   Less 2007 Projects from Carryover/Reserves</t>
  </si>
  <si>
    <t xml:space="preserve">   Less Jan-Jul AnnMaint (new '06 Libs)</t>
  </si>
  <si>
    <t xml:space="preserve">   Plus Phillips Startup</t>
  </si>
  <si>
    <t xml:space="preserve">   Plus Stanley Startup</t>
  </si>
  <si>
    <t xml:space="preserve">   Less Marchive Startup Costs</t>
  </si>
  <si>
    <t xml:space="preserve">   Adj to Close Books @ end of 2007</t>
  </si>
  <si>
    <t>MORE Carryover (less Reserves) @ 12/31/07</t>
  </si>
  <si>
    <t xml:space="preserve">   Less 2008 Projects from Carryover</t>
  </si>
  <si>
    <t xml:space="preserve">   Less Jan-Jul AnnMaint (new '07 Libs)</t>
  </si>
  <si>
    <t xml:space="preserve">  _</t>
  </si>
  <si>
    <t xml:space="preserve">   Plus Barron Startup</t>
  </si>
  <si>
    <t xml:space="preserve">    |</t>
  </si>
  <si>
    <t xml:space="preserve">   Plus Bruce Startup</t>
  </si>
  <si>
    <t xml:space="preserve">   Plus Cameron Startup</t>
  </si>
  <si>
    <t xml:space="preserve">    |__</t>
  </si>
  <si>
    <t>some from LSTA</t>
  </si>
  <si>
    <t xml:space="preserve">   Plus Cumberland Startup</t>
  </si>
  <si>
    <t xml:space="preserve">   Plus Ladysmith Startup</t>
  </si>
  <si>
    <t xml:space="preserve">   Plus Turle Lake Startup</t>
  </si>
  <si>
    <t xml:space="preserve">  _|</t>
  </si>
  <si>
    <t xml:space="preserve">   Less BCLIC Deferred Startup Payments</t>
  </si>
  <si>
    <t xml:space="preserve">   Less Cleanup Contract &amp; Add'l Lists</t>
  </si>
  <si>
    <t xml:space="preserve">   Less BCLIC Database Cost</t>
  </si>
  <si>
    <t xml:space="preserve">   Adj to Close Books @ end of 2008</t>
  </si>
  <si>
    <t>Est MORE Carryover (less Reserves) @ 12/31/08</t>
  </si>
  <si>
    <t xml:space="preserve">   Less 2009 Projects from Carryover</t>
  </si>
  <si>
    <t xml:space="preserve">   Less Jan-Jul AnnMaint (new '08 Libs)</t>
  </si>
  <si>
    <t xml:space="preserve">   Less Balance of Cleanup Contract</t>
  </si>
  <si>
    <t xml:space="preserve">   Plus 2009 BCLIC Deferred Startup Payments</t>
  </si>
  <si>
    <t xml:space="preserve">   Less Ecommerce Modules from '08 Budget</t>
  </si>
  <si>
    <t xml:space="preserve">   Less SCAT Table from '08 Budget</t>
  </si>
  <si>
    <t xml:space="preserve">   Less Publicity funds from '08 Budget</t>
  </si>
  <si>
    <t xml:space="preserve">   Less Approved Add'l Training Travel Budget</t>
  </si>
  <si>
    <t xml:space="preserve">   Less 2009 Interest Income Shortfall</t>
  </si>
  <si>
    <t xml:space="preserve">   Adj to Close Books @ end of 2009</t>
    <phoneticPr fontId="0" type="noConversion"/>
  </si>
  <si>
    <t>Est MORE Carryover (less Reserves) @ 12/31/09</t>
  </si>
  <si>
    <t xml:space="preserve">   Less 2010 Projects from Carryover</t>
  </si>
  <si>
    <t xml:space="preserve">   Plus Sand Creek Startup</t>
    <phoneticPr fontId="0" type="noConversion"/>
  </si>
  <si>
    <t xml:space="preserve">   Less Sand Creek Startup Costs</t>
    <phoneticPr fontId="0" type="noConversion"/>
  </si>
  <si>
    <t xml:space="preserve">   Adj to Close Books @ end of 2010</t>
  </si>
  <si>
    <t>MORE Carryover (less Reserves) @ 12/31/10</t>
  </si>
  <si>
    <t xml:space="preserve">   Less 2011 Projects from Carryover</t>
  </si>
  <si>
    <t xml:space="preserve">   Plus Bloomer Startup Income (@ 1/1/2011)</t>
  </si>
  <si>
    <t xml:space="preserve">   Plus Amery Startup Income (@ 7/1/2011</t>
  </si>
  <si>
    <t xml:space="preserve">   Less Bloomer Startup Costs</t>
  </si>
  <si>
    <t xml:space="preserve">   Less Amery Startup Costs</t>
  </si>
  <si>
    <t xml:space="preserve">   Less Jan-Jul AnnMaint (new '10 Libs)</t>
    <phoneticPr fontId="0" type="noConversion"/>
  </si>
  <si>
    <t xml:space="preserve">   Adj to Close Books @ end of 2011</t>
  </si>
  <si>
    <t xml:space="preserve">   Less 2012 Projects from Carryover</t>
  </si>
  <si>
    <t xml:space="preserve">   Plus Amery Startup Income (Balance)</t>
  </si>
  <si>
    <t xml:space="preserve">   Less Jan-Jul AnnMaint (new '11 Libs)</t>
  </si>
  <si>
    <t xml:space="preserve">   Less Prepaid OverDrive (carryover)</t>
  </si>
  <si>
    <t xml:space="preserve">   Adj to Close Books @ end of 2012</t>
  </si>
  <si>
    <t xml:space="preserve">   Less 2013 Projects from Carryover</t>
  </si>
  <si>
    <t xml:space="preserve">   Less Jan-Jul AnnMaint (new '12 Libs)</t>
  </si>
  <si>
    <t xml:space="preserve">   Less Jan-Jul AnnMaint (new '13 Libs)</t>
  </si>
  <si>
    <t>&lt;------ Includes----------&gt;</t>
  </si>
  <si>
    <t>Contents</t>
  </si>
  <si>
    <t>Gen Maint.</t>
  </si>
  <si>
    <t>See list of libraries with additional costs below (re: special modules or self-checks)</t>
  </si>
  <si>
    <t>Line #</t>
  </si>
  <si>
    <t>Library w/start date (AnnMaint next yr)</t>
  </si>
  <si>
    <t>2014         Total         Cost to Library</t>
  </si>
  <si>
    <t>Altoona   1/1/2000</t>
  </si>
  <si>
    <t>Baldwin   1/1/2000</t>
  </si>
  <si>
    <t>Balsam Lake   1/1/2000</t>
  </si>
  <si>
    <t>Deer Park   1/1/2000</t>
  </si>
  <si>
    <t>Dresser   1/1/2000</t>
  </si>
  <si>
    <t>Ellsworth   1/1/2000</t>
  </si>
  <si>
    <t>Glenwood City   1/1/2000</t>
  </si>
  <si>
    <t>Hudson   1/1/2000</t>
  </si>
  <si>
    <t>LEPMPL   1/1/2000</t>
  </si>
  <si>
    <t>Luck   1/1/2000</t>
  </si>
  <si>
    <t>Milltown   1/1/2000</t>
  </si>
  <si>
    <t>New Richmond   1/1/2000</t>
  </si>
  <si>
    <t>Osceola  1/1/2000</t>
  </si>
  <si>
    <t>Park Falls   1/1/2000</t>
  </si>
  <si>
    <t>Polk County   1/1/2000</t>
  </si>
  <si>
    <t>Prescott   1/1/2000</t>
  </si>
  <si>
    <t>River Falls   1/1/2000</t>
  </si>
  <si>
    <t>Somerset   1/1/2000</t>
  </si>
  <si>
    <t>Woodville   1/1/2000</t>
  </si>
  <si>
    <t>Boyceville  *   1/1/2000</t>
  </si>
  <si>
    <t>Colfax  *   1/1/2002</t>
  </si>
  <si>
    <t>Clear Lake  *   7/1/2003</t>
  </si>
  <si>
    <t>Centuria  *   7/1/2003</t>
  </si>
  <si>
    <t>Frederic  *   7/1/2003</t>
  </si>
  <si>
    <t>Menomonie  *   7/1/2003</t>
  </si>
  <si>
    <t>Pepin  *   7/1/2003</t>
  </si>
  <si>
    <t>St Croix Falls  *   7/1/2003</t>
  </si>
  <si>
    <t>Chippewa Falls  *   1/1/2004</t>
  </si>
  <si>
    <t>Roberts  *   7/1/2004</t>
  </si>
  <si>
    <t>Fall Creek  *   7/1/2004</t>
  </si>
  <si>
    <t>Spring Valley  *   7/1/2004</t>
  </si>
  <si>
    <t>Elmwood  *  1/1/2005</t>
  </si>
  <si>
    <t>Hammond  * 1/1/2005</t>
  </si>
  <si>
    <t>Rice Lake  *  7/1/2005</t>
  </si>
  <si>
    <t>Chetek  * 1/1/2006</t>
  </si>
  <si>
    <t>Augusta  *  7/1/2006</t>
  </si>
  <si>
    <t>Cadott  *  7/1/2006</t>
  </si>
  <si>
    <t>Plum City *  7/1/2006</t>
  </si>
  <si>
    <t>Phillips  *  7/1/2007</t>
  </si>
  <si>
    <t>Stanley  *  7/1/2007</t>
  </si>
  <si>
    <t>Barron  *  7/1/2008</t>
  </si>
  <si>
    <t>Bruce  *  7/1/2008</t>
  </si>
  <si>
    <t>Cameron  *  7/1/2008</t>
  </si>
  <si>
    <t>Cumberland  *  7/1/2008</t>
  </si>
  <si>
    <t>Ladysmith  *  7/1/2008</t>
  </si>
  <si>
    <t>Turtle Lake  * 7/1/2008</t>
  </si>
  <si>
    <t>Sand Creek  * 7/1/2010</t>
    <phoneticPr fontId="0" type="noConversion"/>
  </si>
  <si>
    <t>Bloomer   * 1/1/2011</t>
  </si>
  <si>
    <t>Amery   * 7/1/2011</t>
  </si>
  <si>
    <t>Ogema   * 1/1/2012</t>
  </si>
  <si>
    <t>IFLS Contributions to Libs</t>
  </si>
  <si>
    <t>Total</t>
  </si>
  <si>
    <t>slight differences = rounding</t>
  </si>
  <si>
    <t xml:space="preserve">From New     Library Income - </t>
  </si>
  <si>
    <t>* Libraries added after the 1st 20</t>
  </si>
  <si>
    <t>Altoona</t>
  </si>
  <si>
    <t>Amery</t>
  </si>
  <si>
    <t>Baldwin</t>
  </si>
  <si>
    <t>Barron</t>
    <phoneticPr fontId="0" type="noConversion"/>
  </si>
  <si>
    <t>Chippewa</t>
  </si>
  <si>
    <t>Eau Claire</t>
  </si>
  <si>
    <t>Ellsworth</t>
    <phoneticPr fontId="0" type="noConversion"/>
  </si>
  <si>
    <t>Glenwood City</t>
  </si>
  <si>
    <t>Hudson</t>
  </si>
  <si>
    <t>Menomonie</t>
  </si>
  <si>
    <t>New Richmond</t>
  </si>
  <si>
    <t>Pepin</t>
  </si>
  <si>
    <t>Prescott</t>
    <phoneticPr fontId="0" type="noConversion"/>
  </si>
  <si>
    <t>Rice Lake</t>
    <phoneticPr fontId="0" type="noConversion"/>
  </si>
  <si>
    <t>River Falls</t>
  </si>
  <si>
    <t>Stanley</t>
    <phoneticPr fontId="0" type="noConversion"/>
  </si>
  <si>
    <t>St Croix Falls</t>
  </si>
  <si>
    <t>Woodville</t>
  </si>
  <si>
    <t>Total IFLS Subsidy:</t>
  </si>
  <si>
    <t>Add'l Subsidy per Lib:</t>
  </si>
  <si>
    <t xml:space="preserve"> - Subsidy</t>
  </si>
  <si>
    <t>Bill to Libs</t>
  </si>
  <si>
    <t>Content $</t>
  </si>
  <si>
    <t>Circ &amp; Items as a % of Total</t>
  </si>
  <si>
    <t>LIBRARY</t>
  </si>
  <si>
    <t>items per total</t>
  </si>
  <si>
    <t>circ per total</t>
  </si>
  <si>
    <t>Add'l Subsidy</t>
  </si>
  <si>
    <t>Cost to Library</t>
  </si>
  <si>
    <t>Content $ included</t>
  </si>
  <si>
    <t>Total Cost        Change</t>
  </si>
  <si>
    <t>%              Change</t>
  </si>
  <si>
    <t xml:space="preserve">Augusta </t>
  </si>
  <si>
    <t>Balsam Lake</t>
  </si>
  <si>
    <t>Barron</t>
  </si>
  <si>
    <t>Bloomer</t>
  </si>
  <si>
    <t>Boyceville</t>
  </si>
  <si>
    <t>Bruce</t>
  </si>
  <si>
    <t xml:space="preserve">Cadott </t>
  </si>
  <si>
    <t>Cameron</t>
  </si>
  <si>
    <t>Centuria</t>
  </si>
  <si>
    <t xml:space="preserve">Chetek </t>
  </si>
  <si>
    <t>Chippewa Falls</t>
  </si>
  <si>
    <t>Clear Lake</t>
  </si>
  <si>
    <t>Colfax</t>
  </si>
  <si>
    <t>Cumberland</t>
  </si>
  <si>
    <t>Deer Park</t>
  </si>
  <si>
    <t>Dresser</t>
  </si>
  <si>
    <t>Ellsworth</t>
  </si>
  <si>
    <t>Elmwood</t>
  </si>
  <si>
    <t>Fall Creek</t>
  </si>
  <si>
    <t>Frederic</t>
  </si>
  <si>
    <t xml:space="preserve">Hammond </t>
  </si>
  <si>
    <t>Ladysmith</t>
  </si>
  <si>
    <t>Luck</t>
  </si>
  <si>
    <t>Milltown</t>
  </si>
  <si>
    <t>Ogema</t>
  </si>
  <si>
    <t>Osceola</t>
  </si>
  <si>
    <t>Park Falls</t>
  </si>
  <si>
    <t>Phillips</t>
  </si>
  <si>
    <t xml:space="preserve">Plum City </t>
  </si>
  <si>
    <t>Prescott</t>
  </si>
  <si>
    <t xml:space="preserve">Rice Lake </t>
  </si>
  <si>
    <t>Roberts</t>
  </si>
  <si>
    <t>Sand Creek</t>
    <phoneticPr fontId="9" type="noConversion"/>
  </si>
  <si>
    <t>Somerset</t>
  </si>
  <si>
    <t>Spring Valley</t>
  </si>
  <si>
    <t>Stanley</t>
  </si>
  <si>
    <t>Turtle Lake</t>
  </si>
  <si>
    <t>TOTAL</t>
  </si>
  <si>
    <t>MORE Consortium</t>
  </si>
  <si>
    <t>Reserve/Replacement Funds</t>
  </si>
  <si>
    <t>Desired Total</t>
  </si>
  <si>
    <t>1999-2000</t>
  </si>
  <si>
    <t>Spent in 2003</t>
  </si>
  <si>
    <t>Replaced w/2003 $</t>
  </si>
  <si>
    <t>2005/10</t>
  </si>
  <si>
    <t>2013/14</t>
  </si>
  <si>
    <t>Planned needs for Replacement Funds:</t>
  </si>
  <si>
    <t>To Reserves - Hardware (3 yr cycle)</t>
  </si>
  <si>
    <t xml:space="preserve">     Replacement</t>
  </si>
  <si>
    <t xml:space="preserve">     Upgrades</t>
  </si>
  <si>
    <t>To Reserves - Software (10 yr cycle)</t>
  </si>
  <si>
    <t xml:space="preserve">     Replacement/Upgrades</t>
  </si>
  <si>
    <t>To Reserves - Enhancements (4 yr cycle)</t>
  </si>
  <si>
    <t xml:space="preserve">     3rd Party</t>
  </si>
  <si>
    <t xml:space="preserve">     Innovative</t>
  </si>
  <si>
    <t>To Reserves Contingency</t>
  </si>
  <si>
    <t>Totals to Reserves</t>
  </si>
  <si>
    <t>Cummulative Total</t>
  </si>
  <si>
    <t>**</t>
  </si>
  <si>
    <t xml:space="preserve">   Adj to Close Books @ end of 2013</t>
  </si>
  <si>
    <t xml:space="preserve">   Less 2015 Projects from Carryover</t>
  </si>
  <si>
    <t xml:space="preserve">   Plus Startup Income</t>
  </si>
  <si>
    <t xml:space="preserve">   Less 2014 Projects from Carryover (prelim bud)</t>
  </si>
  <si>
    <t xml:space="preserve">   Less 2014 Add'l amounts from Carryover (rev'd)</t>
  </si>
  <si>
    <t>Carryover @ 12/31/11</t>
  </si>
  <si>
    <t>Carryover @ 12/31/12</t>
  </si>
  <si>
    <t>Carryover @ 12/31/13</t>
  </si>
  <si>
    <t xml:space="preserve">   Less 2014 Add'l amount from CO to Reserves</t>
  </si>
  <si>
    <t>Total Reserves @ End of Year (line )</t>
  </si>
  <si>
    <t xml:space="preserve">Management Team Training </t>
  </si>
  <si>
    <t>AnnMaint - Software Insurance</t>
  </si>
  <si>
    <t>NoveList Select Subscription</t>
  </si>
  <si>
    <t>IFLS Management Charges</t>
  </si>
  <si>
    <t>Seminars, webinars, etc. for IFLS staff</t>
  </si>
  <si>
    <r>
      <rPr>
        <b/>
        <sz val="10"/>
        <rFont val="Arial"/>
        <family val="2"/>
      </rPr>
      <t>Formula</t>
    </r>
    <r>
      <rPr>
        <sz val="10"/>
        <rFont val="Arial"/>
        <family val="2"/>
      </rPr>
      <t xml:space="preserve"> Circ&amp;Items           % of Total</t>
    </r>
  </si>
  <si>
    <t>Total Cost per Library before IFLS Subsidy</t>
  </si>
  <si>
    <t>Preserve system software code</t>
  </si>
  <si>
    <t xml:space="preserve">   Adj to Close Books @ end of 2014</t>
  </si>
  <si>
    <t>Collection Development Project</t>
  </si>
  <si>
    <t xml:space="preserve">   Adj to Close Books @ end of 2015</t>
  </si>
  <si>
    <t>IFLS Subsidy per Library</t>
  </si>
  <si>
    <t xml:space="preserve">   Less 2016 Projects from Carryover</t>
  </si>
  <si>
    <t>Carryover @ 12/31/14</t>
  </si>
  <si>
    <t>Carryover @ 12/31/15</t>
  </si>
  <si>
    <t>Carryover @ 12/31/16</t>
  </si>
  <si>
    <t xml:space="preserve">   Adj to Close Books @ end of 2016</t>
  </si>
  <si>
    <t xml:space="preserve">   Less 2017 Projects from Carryover</t>
  </si>
  <si>
    <t xml:space="preserve">   Adj to Close Books @ end of 2017</t>
  </si>
  <si>
    <t xml:space="preserve">   Less 2015 Add'l Software Only - from Carryover</t>
  </si>
  <si>
    <t xml:space="preserve">   Less 2018 Projects from Carryover</t>
  </si>
  <si>
    <t xml:space="preserve">   Adj to Close Books @ end of 2018</t>
  </si>
  <si>
    <t>Total @ the end of year</t>
  </si>
  <si>
    <t xml:space="preserve">Eau Claire </t>
  </si>
  <si>
    <t>Carryover @ 12/31/17</t>
  </si>
  <si>
    <t xml:space="preserve">   Less 2018 Add'l from Carryover (revised budget)</t>
  </si>
  <si>
    <t xml:space="preserve">   Reserves - Boopsie deferred to 2018</t>
  </si>
  <si>
    <t xml:space="preserve">   Less 2020 Add'l from Carryover (revised budget)</t>
  </si>
  <si>
    <t xml:space="preserve">   Adj to Close Books @ end of 2020</t>
  </si>
  <si>
    <t xml:space="preserve">   Libraries with Additional Maintenance re: Special Modules or Self-check @----&gt;</t>
  </si>
  <si>
    <t>Discovery/Online Catalog</t>
  </si>
  <si>
    <t>BiblioApps library app from Bibliocommons</t>
  </si>
  <si>
    <t>MORE Funds</t>
  </si>
  <si>
    <t>Including</t>
  </si>
  <si>
    <t>Partner Credits</t>
  </si>
  <si>
    <t>Ctlg Partner Credits</t>
  </si>
  <si>
    <t>Cataloging Partners</t>
  </si>
  <si>
    <t>IFLS Subsidy  for Cataloging Partners</t>
  </si>
  <si>
    <t xml:space="preserve">   Off Top</t>
  </si>
  <si>
    <t xml:space="preserve">   Less 2021 Add'l from Carryover (revised budget)</t>
  </si>
  <si>
    <t xml:space="preserve">   Adj to Close Books @ end of 2021</t>
  </si>
  <si>
    <t xml:space="preserve">   Adj to Close Books @ end of 2019</t>
  </si>
  <si>
    <t xml:space="preserve">   Less 2019 Add'l from Carryover (revised budget)</t>
  </si>
  <si>
    <t xml:space="preserve">   Less $ Committed to 2022 Projects from Carryover</t>
  </si>
  <si>
    <t xml:space="preserve">   Less $ Committed to 2021 Projects from Carryover</t>
  </si>
  <si>
    <t xml:space="preserve">   Less $ Committed to 2020 Projects from Carryover</t>
  </si>
  <si>
    <t>Actual Carryover @ 12/31/19</t>
  </si>
  <si>
    <t>Actual Carryover @ 12/31/18</t>
  </si>
  <si>
    <t>Fairchild</t>
  </si>
  <si>
    <t>% Chg</t>
  </si>
  <si>
    <t>Fairchild  * 7/1/2021</t>
  </si>
  <si>
    <t>3 yr Avg items+circ</t>
  </si>
  <si>
    <t>3 yr Avg % of Total</t>
  </si>
  <si>
    <t xml:space="preserve"> (not to exceed 1/2 of Total costs)</t>
  </si>
  <si>
    <t>iTIVA from illion (formerly Talking Tech)</t>
  </si>
  <si>
    <t>Envisionware</t>
  </si>
  <si>
    <t>Express Lane</t>
  </si>
  <si>
    <t>CVTC   (original: 1/1/2000; withdrawal: 1/1/2006) 7/1/2022</t>
  </si>
  <si>
    <t>Durand   * 1/1/2022</t>
  </si>
  <si>
    <t>CVTC</t>
  </si>
  <si>
    <t>Durand</t>
  </si>
  <si>
    <t xml:space="preserve">   Less $ Committed to 2023 Projects from Carryover</t>
  </si>
  <si>
    <t xml:space="preserve">   Adj to Close Books @ end of 2022</t>
  </si>
  <si>
    <t xml:space="preserve">  Plus Fairchild, Durand, CVTC Startup (less 1/2 yr Maint)</t>
  </si>
  <si>
    <t xml:space="preserve">   Less 2022 Add'l from Carryover (revised budget)</t>
  </si>
  <si>
    <t xml:space="preserve">  Plus </t>
  </si>
  <si>
    <t xml:space="preserve">   Less $ Committed to 2019 Projects from Carryover</t>
  </si>
  <si>
    <t xml:space="preserve">   Less 2023 Add'l from Carryover (revised budget)</t>
  </si>
  <si>
    <t xml:space="preserve">   Adj to Close Books @ end of 2023</t>
  </si>
  <si>
    <t>ACTUAL Carryover @ 12/31/20</t>
  </si>
  <si>
    <t>ACTUAL Carryover @ 12/31/2021</t>
  </si>
  <si>
    <t>Total =</t>
  </si>
  <si>
    <t>Reserves  =</t>
  </si>
  <si>
    <t>Envisionware, AMH</t>
  </si>
  <si>
    <t>Collection development/statistical analysis tool</t>
  </si>
  <si>
    <t>Approved</t>
  </si>
  <si>
    <t>2022 Total items+circ</t>
  </si>
  <si>
    <t>Cornell</t>
  </si>
  <si>
    <t>Niche Academy</t>
  </si>
  <si>
    <t>ACTUAL Carryover @ 12/31/2022</t>
  </si>
  <si>
    <t>Shared Services</t>
  </si>
  <si>
    <t>Rice Lake</t>
  </si>
  <si>
    <t xml:space="preserve"> </t>
  </si>
  <si>
    <t>Cornell   * 7/1/2023</t>
  </si>
  <si>
    <t xml:space="preserve">   Less 2024 Add'l from Carryover (revised budget)</t>
  </si>
  <si>
    <t xml:space="preserve">   Adj to Close Books @ end of 2024</t>
  </si>
  <si>
    <t>Library</t>
  </si>
  <si>
    <t>Cost</t>
  </si>
  <si>
    <t>Charge type</t>
  </si>
  <si>
    <t>Description</t>
  </si>
  <si>
    <t>Altoona Total</t>
  </si>
  <si>
    <t>Amery Total</t>
  </si>
  <si>
    <t>Baldwin Total</t>
  </si>
  <si>
    <t>Barron Total</t>
  </si>
  <si>
    <t>Chippewa Total</t>
  </si>
  <si>
    <t>Eau Claire  Total</t>
  </si>
  <si>
    <t>Ellsworth Total</t>
  </si>
  <si>
    <t>Fall Creek Total</t>
  </si>
  <si>
    <t>Hudson Total</t>
  </si>
  <si>
    <t>Menomonie Total</t>
  </si>
  <si>
    <t>New Richmond Total</t>
  </si>
  <si>
    <t>Osceola Total</t>
  </si>
  <si>
    <t>Pepin Total</t>
  </si>
  <si>
    <t>Prescott Total</t>
  </si>
  <si>
    <t>Rice Lake Total</t>
  </si>
  <si>
    <t>River Falls Total</t>
  </si>
  <si>
    <t>Somerset Total</t>
  </si>
  <si>
    <t>Spring Valley Total</t>
  </si>
  <si>
    <t>Stanley Total</t>
  </si>
  <si>
    <t>St Croix Falls Total</t>
  </si>
  <si>
    <t>Grand Total</t>
  </si>
  <si>
    <t>Collection Agency module users</t>
  </si>
  <si>
    <t>Collection Agency module</t>
  </si>
  <si>
    <t>SIP2 License Quantity</t>
  </si>
  <si>
    <t>Balsam Lake Total</t>
  </si>
  <si>
    <t>Ladysmith Total</t>
  </si>
  <si>
    <t xml:space="preserve">  Plus Cornell Startup (less 1/2 yr Maintenance)</t>
  </si>
  <si>
    <t>2023 Total items+circ</t>
  </si>
  <si>
    <t>Professional printing of MORE brochures and Explore MORE passport program materials</t>
  </si>
  <si>
    <t xml:space="preserve">   Adj to Close Books @ end of 2025</t>
  </si>
  <si>
    <t>Est Carryover @ 12/31/2025</t>
  </si>
  <si>
    <t xml:space="preserve">  Plus Hawkins Startup (less 1/2 yr Maintenance)</t>
  </si>
  <si>
    <t>Hawkins</t>
  </si>
  <si>
    <t>Hawkins * 7/1/2024</t>
  </si>
  <si>
    <t xml:space="preserve">  Self-check @ $428/</t>
  </si>
  <si>
    <t>Envisionware, Bibliotheca locker</t>
  </si>
  <si>
    <t xml:space="preserve">  Self-check, locker @ $428/</t>
  </si>
  <si>
    <t xml:space="preserve">  Self-check, AMH @ $428/</t>
  </si>
  <si>
    <t>Cover images for online catalog</t>
  </si>
  <si>
    <t>Reserve @ '25 = $24,000</t>
  </si>
  <si>
    <t>Reserve @ '25 = $175,000</t>
  </si>
  <si>
    <t>Reserve @ '25 = $25,000</t>
  </si>
  <si>
    <t xml:space="preserve">   Less $ Committed to 2024 Projects from Carryover</t>
  </si>
  <si>
    <t xml:space="preserve">   Less 2025 Add'l from Carryover</t>
  </si>
  <si>
    <t>New Products, from carryover</t>
  </si>
  <si>
    <t>Cover images for online catalog; 2025: switch from Content Café to Syndetics, 3-year term at 4% increase per year</t>
  </si>
  <si>
    <t>Telephone notification and renewal service, annual fee; 2025: 4% increase based on 3-year agreement</t>
  </si>
  <si>
    <t>Sierra server hosting</t>
  </si>
  <si>
    <t xml:space="preserve">   Less $ Committed to 2025 Projects from Carryover</t>
  </si>
  <si>
    <t xml:space="preserve">  2024 Approved Budget:  =</t>
  </si>
  <si>
    <t>adjust re M63</t>
  </si>
  <si>
    <t>2026 Preliminary Budget</t>
  </si>
  <si>
    <t>2025 +/-</t>
  </si>
  <si>
    <t>2025 Budget</t>
  </si>
  <si>
    <t>Preliminary</t>
  </si>
  <si>
    <t>2026 Notes</t>
  </si>
  <si>
    <t>Automation software support; 2026: 4% increase based on 3-year agreement</t>
  </si>
  <si>
    <t>Authority Control Service</t>
  </si>
  <si>
    <t>Ongoing authority processing service; in 2025, switched vendors from MARCIVE to Backstage</t>
  </si>
  <si>
    <t>Online catalog enhanced content: readalikes, series, etc.</t>
  </si>
  <si>
    <t>Statistical and collection development tool: Decision Center; 2026: estimated 5% increase based on year-to-year agreement</t>
  </si>
  <si>
    <t>Training/tutorials platform; 2026: 5% increase over actual 2025 cost and continued cost sharing with IFLS</t>
  </si>
  <si>
    <t>Beginning 2025: Text4Library from ShoutBomb, annual maintenance; 2026: estimated increase</t>
  </si>
  <si>
    <t>2025: implementation fees for Text4Library service ($3,500) and Sierra hosting services ($8,200)</t>
  </si>
  <si>
    <t>Includes some IFLS personnel, CABS (Cataloging and Bibliographic Services): centralized bibliographic services, committee meetings, training travel/meetings, and telephone expenses</t>
  </si>
  <si>
    <t>2025: switch to Sierra hosting services, 3-year agreement; 2026: 4% increase based on 3-year agreement</t>
  </si>
  <si>
    <t>Primarily annual Innovative Users Group Conference attendance</t>
  </si>
  <si>
    <t>OCLC, Web Dewey, and RDA Toolkit; 2026: estimated increase</t>
  </si>
  <si>
    <t>Statewide OverDrive collection buying pool including OverDrive magazines; some funds returned for system Advantage account; 2026: estimated 5% increase</t>
  </si>
  <si>
    <t>IFLS OverDrive Advantage program; 2026: RSCD Recommendation</t>
  </si>
  <si>
    <t>To purchase high-demand materials in any format</t>
  </si>
  <si>
    <t xml:space="preserve">   Less $ Committed to 2026 Projects from Carryover</t>
  </si>
  <si>
    <t xml:space="preserve">   Less 2026 Add'l from Carryover</t>
  </si>
  <si>
    <t>ACTUAL Carryover @ 12/31/2023</t>
  </si>
  <si>
    <t>ACTUAL Carryover @ 12/31/2024</t>
  </si>
  <si>
    <t>Est Carryover @ 12/31/2026</t>
  </si>
  <si>
    <t>2026 MORE Costs to Library Participants</t>
  </si>
  <si>
    <t>Based on 2026 Preliminary budget</t>
  </si>
  <si>
    <t xml:space="preserve">2026 Total MORE Budget = </t>
  </si>
  <si>
    <t xml:space="preserve">Less 2026 IFLS Subsidy (off top) = </t>
  </si>
  <si>
    <t xml:space="preserve">2026 MORE Budget billable to Libs = </t>
  </si>
  <si>
    <t xml:space="preserve">Add'l 2026 IFLS Subsidy = Am't per Lib (Half Min) </t>
  </si>
  <si>
    <t xml:space="preserve">Add'l 2026 IFLS Subsidy for Cataloging Partners =  </t>
  </si>
  <si>
    <t>2026        Total         Cost to Library</t>
  </si>
  <si>
    <t>2026  Contents/ Materials</t>
  </si>
  <si>
    <t>2026     General Maintenance</t>
  </si>
  <si>
    <t>MORE 2026 Cost Allocations using 3 year Average for Items &amp; Circ</t>
  </si>
  <si>
    <t>2024          items</t>
  </si>
  <si>
    <t>2024            circ</t>
  </si>
  <si>
    <t>2024 Total items+circ</t>
  </si>
  <si>
    <t>2026 Approved Total</t>
  </si>
  <si>
    <t xml:space="preserve">2026 Preliminary Costs </t>
  </si>
  <si>
    <t xml:space="preserve">2025 Costs </t>
  </si>
  <si>
    <t xml:space="preserve"> 2025 Total</t>
  </si>
  <si>
    <t>2015-   2026</t>
  </si>
  <si>
    <t>Preliminary Budget</t>
  </si>
  <si>
    <t xml:space="preserve">   Adj to Close Books @ end of 2026</t>
  </si>
  <si>
    <r>
      <t xml:space="preserve">Online catalog software; </t>
    </r>
    <r>
      <rPr>
        <u val="singleAccounting"/>
        <sz val="11"/>
        <rFont val="Arial"/>
        <family val="2"/>
      </rPr>
      <t>BiblioCore starting 2020</t>
    </r>
    <r>
      <rPr>
        <sz val="11"/>
        <rFont val="Arial"/>
        <family val="2"/>
      </rPr>
      <t>; preliminary 2026 is an estimate</t>
    </r>
  </si>
  <si>
    <t>Approved by MORE Directors Council, May 2021; preliminary 2026 is an estimate</t>
  </si>
  <si>
    <t>Text message notification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</si>
</sst>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"/>
    <numFmt numFmtId="167" formatCode="_(* #,##0_);_(* \(#,##0\);_(* &quot;-&quot;??_);_(@_)"/>
    <numFmt numFmtId="168" formatCode="_(* #,##0_);_(* \(#,##0\);_(* &quot;-&quot;?_);_(@_)"/>
    <numFmt numFmtId="169" formatCode="0.0%"/>
    <numFmt numFmtId="170" formatCode="&quot;$&quot;#,##0.00"/>
  </numFmts>
  <fonts count="4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 val="singleAccounting"/>
      <sz val="11"/>
      <name val="Arial"/>
      <family val="2"/>
    </font>
    <font>
      <sz val="10"/>
      <color indexed="8"/>
      <name val="Sans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08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Protection="0">
      <alignment wrapText="1"/>
    </xf>
    <xf numFmtId="0" fontId="9" fillId="0" borderId="0"/>
    <xf numFmtId="0" fontId="9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2" fillId="0" borderId="3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40" applyNumberFormat="0" applyAlignment="0" applyProtection="0"/>
    <xf numFmtId="0" fontId="27" fillId="14" borderId="41" applyNumberFormat="0" applyAlignment="0" applyProtection="0"/>
    <xf numFmtId="0" fontId="28" fillId="14" borderId="40" applyNumberFormat="0" applyAlignment="0" applyProtection="0"/>
    <xf numFmtId="0" fontId="29" fillId="0" borderId="42" applyNumberFormat="0" applyFill="0" applyAlignment="0" applyProtection="0"/>
    <xf numFmtId="0" fontId="30" fillId="15" borderId="4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5" applyNumberFormat="0" applyFill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4" fillId="40" borderId="0" applyNumberFormat="0" applyBorder="0" applyAlignment="0" applyProtection="0"/>
    <xf numFmtId="0" fontId="4" fillId="0" borderId="0"/>
    <xf numFmtId="9" fontId="35" fillId="0" borderId="0" applyFont="0" applyFill="0" applyBorder="0" applyAlignment="0" applyProtection="0"/>
    <xf numFmtId="44" fontId="35" fillId="0" borderId="0" applyFont="0" applyFill="0" applyBorder="0" applyProtection="0">
      <alignment wrapText="1"/>
    </xf>
    <xf numFmtId="43" fontId="3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</cellStyleXfs>
  <cellXfs count="317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7" xfId="0" applyBorder="1"/>
    <xf numFmtId="14" fontId="3" fillId="0" borderId="0" xfId="0" applyNumberFormat="1" applyFont="1" applyAlignment="1">
      <alignment horizontal="left"/>
    </xf>
    <xf numFmtId="44" fontId="2" fillId="0" borderId="7" xfId="2" applyBorder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2" fillId="3" borderId="7" xfId="2" applyFill="1" applyBorder="1">
      <alignment wrapText="1"/>
    </xf>
    <xf numFmtId="44" fontId="0" fillId="3" borderId="7" xfId="2" applyFont="1" applyFill="1" applyBorder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44" fontId="2" fillId="0" borderId="10" xfId="2" applyBorder="1">
      <alignment wrapText="1"/>
    </xf>
    <xf numFmtId="44" fontId="2" fillId="3" borderId="10" xfId="2" applyFill="1" applyBorder="1">
      <alignment wrapText="1"/>
    </xf>
    <xf numFmtId="44" fontId="2" fillId="0" borderId="11" xfId="2" applyBorder="1">
      <alignment wrapText="1"/>
    </xf>
    <xf numFmtId="44" fontId="2" fillId="3" borderId="11" xfId="2" applyFill="1" applyBorder="1">
      <alignment wrapText="1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7" fillId="0" borderId="12" xfId="0" applyFont="1" applyBorder="1"/>
    <xf numFmtId="0" fontId="3" fillId="0" borderId="12" xfId="0" applyFont="1" applyBorder="1"/>
    <xf numFmtId="0" fontId="0" fillId="0" borderId="14" xfId="0" applyBorder="1"/>
    <xf numFmtId="0" fontId="10" fillId="0" borderId="0" xfId="3" applyFont="1"/>
    <xf numFmtId="0" fontId="9" fillId="0" borderId="0" xfId="3"/>
    <xf numFmtId="14" fontId="9" fillId="0" borderId="0" xfId="3" applyNumberFormat="1" applyAlignment="1">
      <alignment horizontal="left"/>
    </xf>
    <xf numFmtId="0" fontId="4" fillId="0" borderId="0" xfId="3" applyFont="1"/>
    <xf numFmtId="167" fontId="9" fillId="0" borderId="0" xfId="3" applyNumberFormat="1" applyAlignment="1">
      <alignment horizontal="right"/>
    </xf>
    <xf numFmtId="0" fontId="9" fillId="0" borderId="0" xfId="3" applyAlignment="1">
      <alignment horizontal="right"/>
    </xf>
    <xf numFmtId="0" fontId="10" fillId="0" borderId="15" xfId="3" applyFont="1" applyBorder="1" applyAlignment="1">
      <alignment horizontal="center" wrapText="1"/>
    </xf>
    <xf numFmtId="0" fontId="7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 wrapText="1"/>
    </xf>
    <xf numFmtId="0" fontId="10" fillId="0" borderId="15" xfId="3" applyFont="1" applyBorder="1" applyAlignment="1">
      <alignment horizontal="center"/>
    </xf>
    <xf numFmtId="0" fontId="6" fillId="0" borderId="15" xfId="3" applyFont="1" applyBorder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0" borderId="0" xfId="3" applyFont="1"/>
    <xf numFmtId="167" fontId="9" fillId="0" borderId="0" xfId="3" applyNumberFormat="1"/>
    <xf numFmtId="167" fontId="9" fillId="0" borderId="7" xfId="3" applyNumberFormat="1" applyBorder="1"/>
    <xf numFmtId="168" fontId="9" fillId="0" borderId="0" xfId="3" applyNumberFormat="1"/>
    <xf numFmtId="0" fontId="10" fillId="0" borderId="0" xfId="0" applyFont="1"/>
    <xf numFmtId="164" fontId="4" fillId="0" borderId="15" xfId="0" applyNumberFormat="1" applyFont="1" applyBorder="1"/>
    <xf numFmtId="0" fontId="8" fillId="0" borderId="0" xfId="3" applyFont="1" applyAlignment="1">
      <alignment horizontal="left" wrapText="1"/>
    </xf>
    <xf numFmtId="0" fontId="9" fillId="0" borderId="0" xfId="3" applyAlignment="1">
      <alignment horizontal="left"/>
    </xf>
    <xf numFmtId="0" fontId="9" fillId="0" borderId="7" xfId="3" applyBorder="1"/>
    <xf numFmtId="0" fontId="9" fillId="0" borderId="11" xfId="3" applyBorder="1"/>
    <xf numFmtId="0" fontId="9" fillId="0" borderId="10" xfId="3" applyBorder="1"/>
    <xf numFmtId="0" fontId="10" fillId="0" borderId="16" xfId="3" applyFont="1" applyBorder="1"/>
    <xf numFmtId="0" fontId="10" fillId="0" borderId="18" xfId="3" applyFont="1" applyBorder="1"/>
    <xf numFmtId="0" fontId="10" fillId="0" borderId="19" xfId="3" applyFont="1" applyBorder="1"/>
    <xf numFmtId="0" fontId="11" fillId="0" borderId="0" xfId="0" applyFont="1"/>
    <xf numFmtId="0" fontId="4" fillId="2" borderId="16" xfId="3" applyFont="1" applyFill="1" applyBorder="1" applyAlignment="1">
      <alignment textRotation="90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4" fontId="12" fillId="0" borderId="0" xfId="2" applyFont="1" applyBorder="1">
      <alignment wrapText="1"/>
    </xf>
    <xf numFmtId="0" fontId="12" fillId="0" borderId="0" xfId="0" applyFont="1"/>
    <xf numFmtId="0" fontId="9" fillId="0" borderId="20" xfId="3" applyBorder="1"/>
    <xf numFmtId="0" fontId="9" fillId="0" borderId="21" xfId="3" applyBorder="1"/>
    <xf numFmtId="167" fontId="10" fillId="0" borderId="18" xfId="1" applyNumberFormat="1" applyFont="1" applyFill="1" applyBorder="1"/>
    <xf numFmtId="44" fontId="2" fillId="4" borderId="7" xfId="2" applyFill="1" applyBorder="1">
      <alignment wrapText="1"/>
    </xf>
    <xf numFmtId="0" fontId="9" fillId="2" borderId="24" xfId="3" applyFill="1" applyBorder="1"/>
    <xf numFmtId="164" fontId="3" fillId="0" borderId="15" xfId="2" applyNumberFormat="1" applyFont="1" applyBorder="1">
      <alignment wrapText="1"/>
    </xf>
    <xf numFmtId="10" fontId="10" fillId="0" borderId="19" xfId="3" applyNumberFormat="1" applyFont="1" applyBorder="1" applyAlignment="1">
      <alignment horizontal="center"/>
    </xf>
    <xf numFmtId="166" fontId="12" fillId="0" borderId="0" xfId="5" applyNumberFormat="1" applyFont="1" applyAlignment="1">
      <alignment horizontal="right"/>
    </xf>
    <xf numFmtId="169" fontId="12" fillId="0" borderId="0" xfId="5" applyNumberFormat="1" applyFont="1" applyAlignment="1">
      <alignment horizontal="left"/>
    </xf>
    <xf numFmtId="0" fontId="3" fillId="0" borderId="16" xfId="0" applyFont="1" applyBorder="1"/>
    <xf numFmtId="44" fontId="2" fillId="3" borderId="18" xfId="2" applyFill="1" applyBorder="1">
      <alignment wrapText="1"/>
    </xf>
    <xf numFmtId="0" fontId="10" fillId="0" borderId="0" xfId="4" applyFont="1"/>
    <xf numFmtId="0" fontId="9" fillId="0" borderId="0" xfId="4"/>
    <xf numFmtId="164" fontId="10" fillId="0" borderId="0" xfId="2" applyNumberFormat="1" applyFont="1">
      <alignment wrapText="1"/>
    </xf>
    <xf numFmtId="0" fontId="10" fillId="0" borderId="0" xfId="4" applyFont="1" applyAlignment="1">
      <alignment horizontal="center"/>
    </xf>
    <xf numFmtId="0" fontId="10" fillId="0" borderId="17" xfId="4" applyFont="1" applyBorder="1"/>
    <xf numFmtId="0" fontId="10" fillId="0" borderId="17" xfId="4" applyFont="1" applyBorder="1" applyAlignment="1">
      <alignment horizontal="center" wrapText="1"/>
    </xf>
    <xf numFmtId="167" fontId="9" fillId="0" borderId="1" xfId="4" applyNumberFormat="1" applyBorder="1"/>
    <xf numFmtId="1" fontId="9" fillId="0" borderId="0" xfId="4" applyNumberFormat="1"/>
    <xf numFmtId="167" fontId="9" fillId="0" borderId="26" xfId="4" applyNumberFormat="1" applyBorder="1"/>
    <xf numFmtId="167" fontId="9" fillId="0" borderId="0" xfId="4" applyNumberFormat="1"/>
    <xf numFmtId="0" fontId="10" fillId="0" borderId="24" xfId="4" applyFont="1" applyBorder="1"/>
    <xf numFmtId="167" fontId="10" fillId="0" borderId="17" xfId="1" applyNumberFormat="1" applyFont="1" applyBorder="1"/>
    <xf numFmtId="9" fontId="10" fillId="0" borderId="17" xfId="5" applyFont="1" applyBorder="1"/>
    <xf numFmtId="167" fontId="10" fillId="0" borderId="1" xfId="4" applyNumberFormat="1" applyFont="1" applyBorder="1"/>
    <xf numFmtId="167" fontId="10" fillId="0" borderId="2" xfId="4" applyNumberFormat="1" applyFont="1" applyBorder="1"/>
    <xf numFmtId="169" fontId="10" fillId="0" borderId="3" xfId="5" applyNumberFormat="1" applyFont="1" applyBorder="1"/>
    <xf numFmtId="167" fontId="10" fillId="0" borderId="17" xfId="4" applyNumberFormat="1" applyFont="1" applyBorder="1"/>
    <xf numFmtId="0" fontId="9" fillId="0" borderId="1" xfId="4" applyBorder="1"/>
    <xf numFmtId="0" fontId="9" fillId="0" borderId="2" xfId="4" applyBorder="1"/>
    <xf numFmtId="0" fontId="9" fillId="0" borderId="3" xfId="4" applyBorder="1"/>
    <xf numFmtId="0" fontId="9" fillId="0" borderId="26" xfId="4" applyBorder="1"/>
    <xf numFmtId="0" fontId="9" fillId="0" borderId="27" xfId="4" applyBorder="1"/>
    <xf numFmtId="7" fontId="8" fillId="0" borderId="0" xfId="2" applyNumberFormat="1" applyFont="1">
      <alignment wrapText="1"/>
    </xf>
    <xf numFmtId="7" fontId="5" fillId="0" borderId="0" xfId="2" applyNumberFormat="1" applyFont="1">
      <alignment wrapText="1"/>
    </xf>
    <xf numFmtId="0" fontId="8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8" fillId="0" borderId="4" xfId="4" applyFont="1" applyBorder="1"/>
    <xf numFmtId="0" fontId="9" fillId="0" borderId="5" xfId="4" applyBorder="1"/>
    <xf numFmtId="7" fontId="8" fillId="0" borderId="5" xfId="2" applyNumberFormat="1" applyFont="1" applyBorder="1">
      <alignment wrapText="1"/>
    </xf>
    <xf numFmtId="0" fontId="9" fillId="0" borderId="6" xfId="4" applyBorder="1"/>
    <xf numFmtId="167" fontId="10" fillId="0" borderId="4" xfId="4" applyNumberFormat="1" applyFont="1" applyBorder="1"/>
    <xf numFmtId="0" fontId="10" fillId="0" borderId="5" xfId="4" applyFont="1" applyBorder="1"/>
    <xf numFmtId="0" fontId="8" fillId="0" borderId="0" xfId="4" applyFont="1"/>
    <xf numFmtId="0" fontId="12" fillId="0" borderId="0" xfId="0" applyFont="1" applyAlignment="1">
      <alignment horizontal="left"/>
    </xf>
    <xf numFmtId="43" fontId="0" fillId="0" borderId="0" xfId="0" applyNumberFormat="1"/>
    <xf numFmtId="44" fontId="2" fillId="3" borderId="28" xfId="2" applyFill="1" applyBorder="1">
      <alignment wrapText="1"/>
    </xf>
    <xf numFmtId="43" fontId="3" fillId="0" borderId="15" xfId="0" applyNumberFormat="1" applyFont="1" applyBorder="1"/>
    <xf numFmtId="43" fontId="3" fillId="0" borderId="0" xfId="1" applyFont="1"/>
    <xf numFmtId="43" fontId="2" fillId="0" borderId="0" xfId="1"/>
    <xf numFmtId="43" fontId="2" fillId="0" borderId="0" xfId="1" applyFont="1"/>
    <xf numFmtId="44" fontId="0" fillId="0" borderId="0" xfId="0" applyNumberFormat="1"/>
    <xf numFmtId="44" fontId="2" fillId="0" borderId="12" xfId="2" applyFont="1" applyBorder="1">
      <alignment wrapText="1"/>
    </xf>
    <xf numFmtId="0" fontId="4" fillId="0" borderId="0" xfId="0" applyFont="1"/>
    <xf numFmtId="167" fontId="4" fillId="0" borderId="0" xfId="1" applyNumberFormat="1" applyFont="1"/>
    <xf numFmtId="0" fontId="0" fillId="0" borderId="17" xfId="0" applyBorder="1"/>
    <xf numFmtId="0" fontId="8" fillId="0" borderId="0" xfId="3" applyFont="1" applyAlignment="1">
      <alignment horizontal="left"/>
    </xf>
    <xf numFmtId="44" fontId="2" fillId="0" borderId="7" xfId="2" applyFont="1" applyBorder="1" applyAlignment="1">
      <alignment horizontal="center"/>
    </xf>
    <xf numFmtId="167" fontId="9" fillId="2" borderId="0" xfId="4" applyNumberFormat="1" applyFill="1"/>
    <xf numFmtId="167" fontId="10" fillId="2" borderId="2" xfId="4" applyNumberFormat="1" applyFont="1" applyFill="1" applyBorder="1"/>
    <xf numFmtId="44" fontId="2" fillId="4" borderId="15" xfId="2" applyFont="1" applyFill="1" applyBorder="1" applyAlignment="1">
      <alignment horizontal="right"/>
    </xf>
    <xf numFmtId="167" fontId="10" fillId="0" borderId="19" xfId="1" applyNumberFormat="1" applyFont="1" applyBorder="1"/>
    <xf numFmtId="167" fontId="10" fillId="4" borderId="15" xfId="1" applyNumberFormat="1" applyFont="1" applyFill="1" applyBorder="1"/>
    <xf numFmtId="0" fontId="9" fillId="0" borderId="29" xfId="3" applyBorder="1" applyAlignment="1">
      <alignment horizontal="center"/>
    </xf>
    <xf numFmtId="0" fontId="9" fillId="0" borderId="30" xfId="3" applyBorder="1" applyAlignment="1">
      <alignment horizontal="center"/>
    </xf>
    <xf numFmtId="0" fontId="9" fillId="0" borderId="31" xfId="3" applyBorder="1" applyAlignment="1">
      <alignment horizontal="center"/>
    </xf>
    <xf numFmtId="44" fontId="0" fillId="0" borderId="19" xfId="2" applyFont="1" applyBorder="1">
      <alignment wrapText="1"/>
    </xf>
    <xf numFmtId="0" fontId="3" fillId="5" borderId="12" xfId="0" applyFont="1" applyFill="1" applyBorder="1"/>
    <xf numFmtId="0" fontId="4" fillId="0" borderId="0" xfId="4" applyFont="1"/>
    <xf numFmtId="0" fontId="0" fillId="6" borderId="5" xfId="0" applyFill="1" applyBorder="1"/>
    <xf numFmtId="0" fontId="3" fillId="6" borderId="5" xfId="0" applyFont="1" applyFill="1" applyBorder="1"/>
    <xf numFmtId="43" fontId="2" fillId="0" borderId="0" xfId="1" applyFill="1" applyBorder="1"/>
    <xf numFmtId="164" fontId="10" fillId="0" borderId="20" xfId="2" applyNumberFormat="1" applyFont="1" applyBorder="1">
      <alignment wrapText="1"/>
    </xf>
    <xf numFmtId="0" fontId="7" fillId="0" borderId="0" xfId="4" applyFont="1"/>
    <xf numFmtId="44" fontId="0" fillId="0" borderId="7" xfId="2" applyFont="1" applyBorder="1">
      <alignment wrapText="1"/>
    </xf>
    <xf numFmtId="0" fontId="14" fillId="0" borderId="0" xfId="0" applyFont="1"/>
    <xf numFmtId="44" fontId="2" fillId="7" borderId="7" xfId="2" applyFill="1" applyBorder="1">
      <alignment wrapText="1"/>
    </xf>
    <xf numFmtId="0" fontId="10" fillId="0" borderId="12" xfId="0" applyFont="1" applyBorder="1"/>
    <xf numFmtId="167" fontId="10" fillId="8" borderId="2" xfId="4" applyNumberFormat="1" applyFont="1" applyFill="1" applyBorder="1"/>
    <xf numFmtId="0" fontId="4" fillId="0" borderId="10" xfId="3" applyFont="1" applyBorder="1"/>
    <xf numFmtId="164" fontId="3" fillId="0" borderId="15" xfId="2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167" fontId="0" fillId="0" borderId="28" xfId="1" applyNumberFormat="1" applyFont="1" applyBorder="1"/>
    <xf numFmtId="0" fontId="0" fillId="0" borderId="28" xfId="0" applyBorder="1"/>
    <xf numFmtId="0" fontId="0" fillId="0" borderId="35" xfId="0" applyBorder="1"/>
    <xf numFmtId="167" fontId="3" fillId="0" borderId="17" xfId="0" applyNumberFormat="1" applyFont="1" applyBorder="1"/>
    <xf numFmtId="0" fontId="10" fillId="2" borderId="15" xfId="3" applyFont="1" applyFill="1" applyBorder="1" applyAlignment="1">
      <alignment horizontal="center" wrapText="1"/>
    </xf>
    <xf numFmtId="43" fontId="2" fillId="0" borderId="0" xfId="1" applyFill="1"/>
    <xf numFmtId="0" fontId="0" fillId="0" borderId="0" xfId="0" applyAlignment="1">
      <alignment horizontal="right"/>
    </xf>
    <xf numFmtId="0" fontId="4" fillId="2" borderId="18" xfId="3" applyFont="1" applyFill="1" applyBorder="1" applyAlignment="1">
      <alignment horizontal="center" wrapText="1"/>
    </xf>
    <xf numFmtId="0" fontId="4" fillId="2" borderId="36" xfId="3" applyFont="1" applyFill="1" applyBorder="1" applyAlignment="1">
      <alignment horizontal="center" wrapText="1"/>
    </xf>
    <xf numFmtId="167" fontId="10" fillId="0" borderId="5" xfId="4" applyNumberFormat="1" applyFont="1" applyBorder="1"/>
    <xf numFmtId="167" fontId="10" fillId="0" borderId="24" xfId="4" applyNumberFormat="1" applyFont="1" applyBorder="1"/>
    <xf numFmtId="167" fontId="10" fillId="0" borderId="25" xfId="1" applyNumberFormat="1" applyFont="1" applyBorder="1"/>
    <xf numFmtId="0" fontId="3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44" fontId="2" fillId="7" borderId="7" xfId="2" applyFont="1" applyFill="1" applyBorder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2" borderId="17" xfId="3" applyFont="1" applyFill="1" applyBorder="1"/>
    <xf numFmtId="0" fontId="4" fillId="2" borderId="23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4" fillId="0" borderId="11" xfId="3" applyFont="1" applyBorder="1"/>
    <xf numFmtId="10" fontId="4" fillId="0" borderId="11" xfId="5" applyNumberFormat="1" applyFont="1" applyBorder="1" applyAlignment="1">
      <alignment horizontal="center"/>
    </xf>
    <xf numFmtId="164" fontId="4" fillId="0" borderId="11" xfId="2" applyNumberFormat="1" applyFont="1" applyFill="1" applyBorder="1">
      <alignment wrapText="1"/>
    </xf>
    <xf numFmtId="164" fontId="4" fillId="0" borderId="33" xfId="2" applyNumberFormat="1" applyFont="1" applyFill="1" applyBorder="1">
      <alignment wrapText="1"/>
    </xf>
    <xf numFmtId="164" fontId="4" fillId="4" borderId="32" xfId="2" applyNumberFormat="1" applyFont="1" applyFill="1" applyBorder="1">
      <alignment wrapText="1"/>
    </xf>
    <xf numFmtId="164" fontId="4" fillId="0" borderId="34" xfId="2" applyNumberFormat="1" applyFont="1" applyFill="1" applyBorder="1">
      <alignment wrapText="1"/>
    </xf>
    <xf numFmtId="164" fontId="4" fillId="0" borderId="11" xfId="0" applyNumberFormat="1" applyFont="1" applyBorder="1"/>
    <xf numFmtId="0" fontId="4" fillId="0" borderId="7" xfId="3" applyFont="1" applyBorder="1"/>
    <xf numFmtId="167" fontId="4" fillId="4" borderId="22" xfId="1" applyNumberFormat="1" applyFont="1" applyFill="1" applyBorder="1"/>
    <xf numFmtId="164" fontId="10" fillId="0" borderId="7" xfId="4" applyNumberFormat="1" applyFont="1" applyBorder="1"/>
    <xf numFmtId="164" fontId="10" fillId="4" borderId="7" xfId="4" applyNumberFormat="1" applyFont="1" applyFill="1" applyBorder="1"/>
    <xf numFmtId="164" fontId="10" fillId="8" borderId="25" xfId="4" applyNumberFormat="1" applyFont="1" applyFill="1" applyBorder="1"/>
    <xf numFmtId="164" fontId="10" fillId="0" borderId="25" xfId="4" applyNumberFormat="1" applyFont="1" applyBorder="1"/>
    <xf numFmtId="10" fontId="4" fillId="0" borderId="0" xfId="5" applyNumberFormat="1" applyFont="1" applyFill="1"/>
    <xf numFmtId="167" fontId="4" fillId="0" borderId="0" xfId="1" applyNumberFormat="1" applyFont="1" applyFill="1"/>
    <xf numFmtId="10" fontId="4" fillId="5" borderId="0" xfId="5" applyNumberFormat="1" applyFont="1" applyFill="1"/>
    <xf numFmtId="167" fontId="4" fillId="8" borderId="2" xfId="1" applyNumberFormat="1" applyFont="1" applyFill="1" applyBorder="1"/>
    <xf numFmtId="167" fontId="4" fillId="2" borderId="2" xfId="1" applyNumberFormat="1" applyFont="1" applyFill="1" applyBorder="1"/>
    <xf numFmtId="169" fontId="4" fillId="0" borderId="3" xfId="5" applyNumberFormat="1" applyFont="1" applyFill="1" applyBorder="1"/>
    <xf numFmtId="169" fontId="4" fillId="0" borderId="27" xfId="5" applyNumberFormat="1" applyFont="1" applyFill="1" applyBorder="1"/>
    <xf numFmtId="167" fontId="4" fillId="0" borderId="0" xfId="1" applyNumberFormat="1" applyFont="1" applyBorder="1"/>
    <xf numFmtId="167" fontId="4" fillId="0" borderId="0" xfId="1" applyNumberFormat="1" applyFont="1" applyBorder="1" applyAlignment="1">
      <alignment horizontal="right"/>
    </xf>
    <xf numFmtId="164" fontId="4" fillId="0" borderId="0" xfId="2" applyNumberFormat="1" applyFont="1" applyBorder="1">
      <alignment wrapText="1"/>
    </xf>
    <xf numFmtId="164" fontId="4" fillId="0" borderId="7" xfId="2" applyNumberFormat="1" applyFont="1" applyBorder="1" applyAlignment="1">
      <alignment horizontal="right"/>
    </xf>
    <xf numFmtId="9" fontId="4" fillId="0" borderId="7" xfId="5" applyFont="1" applyBorder="1" applyAlignment="1">
      <alignment horizontal="right"/>
    </xf>
    <xf numFmtId="164" fontId="4" fillId="0" borderId="15" xfId="2" applyNumberFormat="1" applyFont="1" applyBorder="1">
      <alignment wrapText="1"/>
    </xf>
    <xf numFmtId="0" fontId="0" fillId="6" borderId="5" xfId="0" applyFill="1" applyBorder="1" applyAlignment="1">
      <alignment horizontal="right"/>
    </xf>
    <xf numFmtId="44" fontId="2" fillId="0" borderId="7" xfId="2" applyFill="1" applyBorder="1">
      <alignment wrapText="1"/>
    </xf>
    <xf numFmtId="44" fontId="0" fillId="0" borderId="7" xfId="2" applyFont="1" applyFill="1" applyBorder="1">
      <alignment wrapText="1"/>
    </xf>
    <xf numFmtId="0" fontId="10" fillId="0" borderId="17" xfId="58" applyFont="1" applyBorder="1" applyAlignment="1">
      <alignment horizontal="center" wrapText="1"/>
    </xf>
    <xf numFmtId="0" fontId="10" fillId="0" borderId="24" xfId="58" applyFont="1" applyBorder="1" applyAlignment="1">
      <alignment horizontal="center" wrapText="1"/>
    </xf>
    <xf numFmtId="167" fontId="4" fillId="0" borderId="1" xfId="58" applyNumberFormat="1" applyBorder="1"/>
    <xf numFmtId="167" fontId="4" fillId="0" borderId="26" xfId="58" applyNumberFormat="1" applyBorder="1"/>
    <xf numFmtId="167" fontId="4" fillId="0" borderId="0" xfId="58" applyNumberFormat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0" fontId="35" fillId="0" borderId="0" xfId="0" applyFont="1"/>
    <xf numFmtId="43" fontId="0" fillId="41" borderId="0" xfId="0" applyNumberFormat="1" applyFill="1"/>
    <xf numFmtId="167" fontId="10" fillId="0" borderId="17" xfId="1" applyNumberFormat="1" applyFont="1" applyFill="1" applyBorder="1"/>
    <xf numFmtId="3" fontId="9" fillId="0" borderId="0" xfId="4" applyNumberFormat="1"/>
    <xf numFmtId="0" fontId="0" fillId="0" borderId="0" xfId="0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2" fillId="9" borderId="7" xfId="2" applyFill="1" applyBorder="1">
      <alignment wrapText="1"/>
    </xf>
    <xf numFmtId="44" fontId="13" fillId="0" borderId="0" xfId="2" applyFont="1" applyFill="1" applyAlignment="1">
      <alignment horizontal="left"/>
    </xf>
    <xf numFmtId="3" fontId="38" fillId="0" borderId="0" xfId="0" applyNumberFormat="1" applyFont="1" applyAlignment="1">
      <alignment horizontal="right" vertical="top" wrapText="1"/>
    </xf>
    <xf numFmtId="170" fontId="0" fillId="0" borderId="0" xfId="0" applyNumberFormat="1" applyAlignment="1">
      <alignment wrapText="1"/>
    </xf>
    <xf numFmtId="170" fontId="2" fillId="7" borderId="7" xfId="2" applyNumberFormat="1" applyFill="1" applyBorder="1">
      <alignment wrapText="1"/>
    </xf>
    <xf numFmtId="170" fontId="2" fillId="7" borderId="7" xfId="2" applyNumberFormat="1" applyFont="1" applyFill="1" applyBorder="1">
      <alignment wrapText="1"/>
    </xf>
    <xf numFmtId="170" fontId="2" fillId="4" borderId="7" xfId="2" applyNumberFormat="1" applyFill="1" applyBorder="1">
      <alignment wrapText="1"/>
    </xf>
    <xf numFmtId="170" fontId="2" fillId="0" borderId="11" xfId="2" applyNumberFormat="1" applyBorder="1">
      <alignment wrapText="1"/>
    </xf>
    <xf numFmtId="44" fontId="4" fillId="0" borderId="12" xfId="2" applyFont="1" applyBorder="1">
      <alignment wrapText="1"/>
    </xf>
    <xf numFmtId="44" fontId="0" fillId="0" borderId="12" xfId="2" applyFont="1" applyBorder="1">
      <alignment wrapText="1"/>
    </xf>
    <xf numFmtId="44" fontId="2" fillId="7" borderId="12" xfId="2" applyFont="1" applyFill="1" applyBorder="1" applyAlignment="1">
      <alignment horizontal="center"/>
    </xf>
    <xf numFmtId="44" fontId="2" fillId="0" borderId="12" xfId="2" applyBorder="1">
      <alignment wrapText="1"/>
    </xf>
    <xf numFmtId="44" fontId="2" fillId="9" borderId="12" xfId="2" applyFont="1" applyFill="1" applyBorder="1">
      <alignment wrapText="1"/>
    </xf>
    <xf numFmtId="44" fontId="5" fillId="4" borderId="12" xfId="2" applyFont="1" applyFill="1" applyBorder="1">
      <alignment wrapText="1"/>
    </xf>
    <xf numFmtId="44" fontId="2" fillId="0" borderId="13" xfId="2" applyBorder="1">
      <alignment wrapText="1"/>
    </xf>
    <xf numFmtId="44" fontId="4" fillId="0" borderId="25" xfId="2" applyFont="1" applyBorder="1" applyAlignment="1">
      <alignment horizontal="left"/>
    </xf>
    <xf numFmtId="44" fontId="2" fillId="0" borderId="14" xfId="2" applyBorder="1">
      <alignment wrapText="1"/>
    </xf>
    <xf numFmtId="170" fontId="0" fillId="0" borderId="7" xfId="0" applyNumberFormat="1" applyBorder="1" applyAlignment="1">
      <alignment wrapText="1"/>
    </xf>
    <xf numFmtId="43" fontId="0" fillId="0" borderId="0" xfId="1" applyFont="1"/>
    <xf numFmtId="44" fontId="10" fillId="4" borderId="7" xfId="4" applyNumberFormat="1" applyFont="1" applyFill="1" applyBorder="1"/>
    <xf numFmtId="44" fontId="2" fillId="0" borderId="7" xfId="2" applyFont="1" applyBorder="1">
      <alignment wrapText="1"/>
    </xf>
    <xf numFmtId="44" fontId="2" fillId="4" borderId="15" xfId="2" applyFont="1" applyFill="1" applyBorder="1">
      <alignment wrapText="1"/>
    </xf>
    <xf numFmtId="170" fontId="0" fillId="0" borderId="18" xfId="2" applyNumberFormat="1" applyFont="1" applyBorder="1">
      <alignment wrapText="1"/>
    </xf>
    <xf numFmtId="0" fontId="10" fillId="0" borderId="25" xfId="58" applyFont="1" applyBorder="1" applyAlignment="1">
      <alignment horizontal="center" wrapText="1"/>
    </xf>
    <xf numFmtId="167" fontId="4" fillId="0" borderId="3" xfId="1" applyNumberFormat="1" applyFont="1" applyFill="1" applyBorder="1"/>
    <xf numFmtId="167" fontId="4" fillId="0" borderId="27" xfId="58" applyNumberFormat="1" applyBorder="1"/>
    <xf numFmtId="0" fontId="4" fillId="0" borderId="0" xfId="0" applyFont="1" applyAlignment="1">
      <alignment horizontal="left"/>
    </xf>
    <xf numFmtId="44" fontId="0" fillId="0" borderId="0" xfId="2" applyFont="1" applyFill="1">
      <alignment wrapText="1"/>
    </xf>
    <xf numFmtId="0" fontId="2" fillId="0" borderId="12" xfId="0" applyFont="1" applyBorder="1"/>
    <xf numFmtId="44" fontId="0" fillId="41" borderId="0" xfId="0" applyNumberFormat="1" applyFill="1"/>
    <xf numFmtId="164" fontId="10" fillId="42" borderId="7" xfId="4" applyNumberFormat="1" applyFont="1" applyFill="1" applyBorder="1"/>
    <xf numFmtId="167" fontId="4" fillId="42" borderId="0" xfId="1" applyNumberFormat="1" applyFont="1" applyFill="1" applyBorder="1"/>
    <xf numFmtId="167" fontId="9" fillId="0" borderId="15" xfId="4" applyNumberFormat="1" applyBorder="1"/>
    <xf numFmtId="169" fontId="9" fillId="0" borderId="15" xfId="5" applyNumberFormat="1" applyFont="1" applyBorder="1"/>
    <xf numFmtId="169" fontId="9" fillId="42" borderId="0" xfId="5" applyNumberFormat="1" applyFont="1" applyFill="1"/>
    <xf numFmtId="167" fontId="4" fillId="8" borderId="0" xfId="1" applyNumberFormat="1" applyFont="1" applyFill="1" applyBorder="1"/>
    <xf numFmtId="0" fontId="4" fillId="2" borderId="17" xfId="3" applyFont="1" applyFill="1" applyBorder="1" applyAlignment="1">
      <alignment horizontal="center" wrapText="1"/>
    </xf>
    <xf numFmtId="167" fontId="9" fillId="0" borderId="28" xfId="3" applyNumberFormat="1" applyBorder="1"/>
    <xf numFmtId="167" fontId="4" fillId="0" borderId="35" xfId="1" applyNumberFormat="1" applyFont="1" applyBorder="1"/>
    <xf numFmtId="0" fontId="9" fillId="0" borderId="28" xfId="3" applyBorder="1"/>
    <xf numFmtId="0" fontId="9" fillId="0" borderId="35" xfId="3" applyBorder="1"/>
    <xf numFmtId="164" fontId="10" fillId="0" borderId="0" xfId="4" applyNumberFormat="1" applyFont="1"/>
    <xf numFmtId="43" fontId="3" fillId="9" borderId="15" xfId="0" applyNumberFormat="1" applyFont="1" applyFill="1" applyBorder="1"/>
    <xf numFmtId="43" fontId="3" fillId="43" borderId="15" xfId="0" applyNumberFormat="1" applyFont="1" applyFill="1" applyBorder="1"/>
    <xf numFmtId="43" fontId="3" fillId="44" borderId="15" xfId="0" applyNumberFormat="1" applyFont="1" applyFill="1" applyBorder="1"/>
    <xf numFmtId="43" fontId="3" fillId="45" borderId="15" xfId="0" applyNumberFormat="1" applyFont="1" applyFill="1" applyBorder="1"/>
    <xf numFmtId="43" fontId="3" fillId="46" borderId="15" xfId="0" applyNumberFormat="1" applyFont="1" applyFill="1" applyBorder="1"/>
    <xf numFmtId="43" fontId="3" fillId="47" borderId="15" xfId="0" applyNumberFormat="1" applyFont="1" applyFill="1" applyBorder="1"/>
    <xf numFmtId="43" fontId="3" fillId="48" borderId="15" xfId="0" applyNumberFormat="1" applyFont="1" applyFill="1" applyBorder="1"/>
    <xf numFmtId="0" fontId="4" fillId="0" borderId="0" xfId="4" applyFont="1" applyAlignment="1">
      <alignment horizontal="center"/>
    </xf>
    <xf numFmtId="167" fontId="9" fillId="0" borderId="0" xfId="1" applyNumberFormat="1" applyFont="1" applyFill="1"/>
    <xf numFmtId="10" fontId="9" fillId="0" borderId="0" xfId="5" applyNumberFormat="1" applyFont="1" applyFill="1"/>
    <xf numFmtId="167" fontId="9" fillId="0" borderId="5" xfId="4" applyNumberFormat="1" applyBorder="1"/>
    <xf numFmtId="10" fontId="3" fillId="0" borderId="0" xfId="5" applyNumberFormat="1" applyFont="1"/>
    <xf numFmtId="0" fontId="10" fillId="0" borderId="1" xfId="4" applyFont="1" applyBorder="1" applyAlignment="1">
      <alignment horizontal="center" wrapText="1"/>
    </xf>
    <xf numFmtId="0" fontId="10" fillId="0" borderId="2" xfId="4" applyFont="1" applyBorder="1" applyAlignment="1">
      <alignment horizontal="center" wrapText="1"/>
    </xf>
    <xf numFmtId="0" fontId="10" fillId="8" borderId="2" xfId="4" applyFont="1" applyFill="1" applyBorder="1" applyAlignment="1">
      <alignment horizontal="center" wrapText="1"/>
    </xf>
    <xf numFmtId="0" fontId="10" fillId="2" borderId="2" xfId="4" applyFont="1" applyFill="1" applyBorder="1" applyAlignment="1">
      <alignment horizontal="center" wrapText="1"/>
    </xf>
    <xf numFmtId="0" fontId="10" fillId="0" borderId="3" xfId="4" applyFont="1" applyBorder="1" applyAlignment="1">
      <alignment horizontal="center" wrapText="1"/>
    </xf>
    <xf numFmtId="167" fontId="4" fillId="0" borderId="5" xfId="1" applyNumberFormat="1" applyFont="1" applyFill="1" applyBorder="1"/>
    <xf numFmtId="167" fontId="4" fillId="8" borderId="5" xfId="1" applyNumberFormat="1" applyFont="1" applyFill="1" applyBorder="1"/>
    <xf numFmtId="167" fontId="9" fillId="2" borderId="5" xfId="4" applyNumberFormat="1" applyFill="1" applyBorder="1"/>
    <xf numFmtId="169" fontId="4" fillId="0" borderId="6" xfId="5" applyNumberFormat="1" applyFont="1" applyFill="1" applyBorder="1"/>
    <xf numFmtId="167" fontId="4" fillId="0" borderId="33" xfId="1" applyNumberFormat="1" applyFont="1" applyFill="1" applyBorder="1" applyAlignment="1">
      <alignment wrapText="1"/>
    </xf>
    <xf numFmtId="167" fontId="4" fillId="49" borderId="0" xfId="1" applyNumberFormat="1" applyFont="1" applyFill="1"/>
    <xf numFmtId="167" fontId="4" fillId="50" borderId="0" xfId="1" applyNumberFormat="1" applyFont="1" applyFill="1"/>
    <xf numFmtId="167" fontId="10" fillId="0" borderId="17" xfId="1" applyNumberFormat="1" applyFont="1" applyFill="1" applyBorder="1" applyAlignment="1">
      <alignment horizontal="center" wrapText="1"/>
    </xf>
    <xf numFmtId="9" fontId="9" fillId="0" borderId="0" xfId="4" applyNumberFormat="1" applyAlignment="1">
      <alignment horizontal="center"/>
    </xf>
    <xf numFmtId="165" fontId="9" fillId="0" borderId="0" xfId="4" applyNumberFormat="1"/>
    <xf numFmtId="0" fontId="9" fillId="0" borderId="0" xfId="4" applyAlignment="1">
      <alignment horizontal="right"/>
    </xf>
    <xf numFmtId="0" fontId="9" fillId="4" borderId="46" xfId="3" applyFill="1" applyBorder="1"/>
    <xf numFmtId="167" fontId="4" fillId="4" borderId="15" xfId="1" applyNumberFormat="1" applyFont="1" applyFill="1" applyBorder="1"/>
    <xf numFmtId="167" fontId="9" fillId="0" borderId="0" xfId="1" applyNumberFormat="1" applyFont="1"/>
    <xf numFmtId="43" fontId="3" fillId="52" borderId="15" xfId="0" applyNumberFormat="1" applyFont="1" applyFill="1" applyBorder="1"/>
    <xf numFmtId="0" fontId="8" fillId="51" borderId="0" xfId="4" applyFont="1" applyFill="1" applyAlignment="1">
      <alignment horizontal="center"/>
    </xf>
    <xf numFmtId="3" fontId="38" fillId="0" borderId="0" xfId="0" applyNumberFormat="1" applyFont="1" applyAlignment="1">
      <alignment horizontal="right"/>
    </xf>
    <xf numFmtId="44" fontId="2" fillId="0" borderId="47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28" xfId="1" applyNumberFormat="1" applyFont="1" applyFill="1" applyBorder="1"/>
    <xf numFmtId="10" fontId="4" fillId="50" borderId="0" xfId="5" applyNumberFormat="1" applyFont="1" applyFill="1"/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0" fillId="0" borderId="17" xfId="4" applyFont="1" applyBorder="1" applyAlignment="1">
      <alignment wrapText="1"/>
    </xf>
    <xf numFmtId="44" fontId="2" fillId="0" borderId="7" xfId="2" applyFont="1" applyFill="1" applyBorder="1">
      <alignment wrapText="1"/>
    </xf>
    <xf numFmtId="44" fontId="2" fillId="0" borderId="0" xfId="0" applyNumberFormat="1" applyFont="1"/>
    <xf numFmtId="44" fontId="3" fillId="0" borderId="0" xfId="2" applyFont="1" applyFill="1" applyBorder="1">
      <alignment wrapText="1"/>
    </xf>
    <xf numFmtId="0" fontId="3" fillId="0" borderId="35" xfId="0" applyFont="1" applyBorder="1"/>
    <xf numFmtId="0" fontId="10" fillId="0" borderId="35" xfId="0" applyFont="1" applyBorder="1"/>
    <xf numFmtId="44" fontId="3" fillId="0" borderId="35" xfId="2" applyFont="1" applyFill="1" applyBorder="1">
      <alignment wrapText="1"/>
    </xf>
    <xf numFmtId="0" fontId="10" fillId="0" borderId="35" xfId="0" applyFont="1" applyBorder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10" fontId="0" fillId="0" borderId="0" xfId="0" applyNumberFormat="1"/>
    <xf numFmtId="6" fontId="3" fillId="6" borderId="5" xfId="2" applyNumberFormat="1" applyFont="1" applyFill="1" applyBorder="1">
      <alignment wrapText="1"/>
    </xf>
    <xf numFmtId="6" fontId="2" fillId="0" borderId="7" xfId="2" applyNumberFormat="1" applyBorder="1">
      <alignment wrapText="1"/>
    </xf>
    <xf numFmtId="43" fontId="2" fillId="0" borderId="0" xfId="1" applyFont="1" applyFill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0" fillId="0" borderId="24" xfId="4" applyFont="1" applyBorder="1" applyAlignment="1">
      <alignment horizontal="center"/>
    </xf>
    <xf numFmtId="0" fontId="10" fillId="0" borderId="17" xfId="4" applyFont="1" applyBorder="1" applyAlignment="1">
      <alignment horizontal="center"/>
    </xf>
    <xf numFmtId="0" fontId="10" fillId="0" borderId="25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7" fillId="0" borderId="17" xfId="4" applyFont="1" applyBorder="1" applyAlignment="1">
      <alignment horizontal="center"/>
    </xf>
    <xf numFmtId="0" fontId="7" fillId="0" borderId="25" xfId="4" applyFont="1" applyBorder="1" applyAlignment="1">
      <alignment horizontal="center"/>
    </xf>
    <xf numFmtId="0" fontId="10" fillId="0" borderId="0" xfId="3" applyFont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12" xfId="0" applyFont="1" applyFill="1" applyBorder="1"/>
    <xf numFmtId="44" fontId="2" fillId="0" borderId="12" xfId="2" applyFont="1" applyFill="1" applyBorder="1" applyAlignment="1">
      <alignment vertical="center" wrapText="1"/>
    </xf>
    <xf numFmtId="0" fontId="0" fillId="0" borderId="0" xfId="0" applyFill="1"/>
    <xf numFmtId="0" fontId="0" fillId="0" borderId="12" xfId="0" applyFill="1" applyBorder="1"/>
    <xf numFmtId="44" fontId="2" fillId="0" borderId="12" xfId="2" applyFont="1" applyFill="1" applyBorder="1">
      <alignment wrapText="1"/>
    </xf>
  </cellXfs>
  <cellStyles count="1084">
    <cellStyle name="20% - Accent1" xfId="35" builtinId="30" customBuiltin="1"/>
    <cellStyle name="20% - Accent1 10" xfId="64" xr:uid="{00000000-0005-0000-0000-000001000000}"/>
    <cellStyle name="20% - Accent1 11" xfId="65" xr:uid="{00000000-0005-0000-0000-000002000000}"/>
    <cellStyle name="20% - Accent1 12" xfId="66" xr:uid="{00000000-0005-0000-0000-000003000000}"/>
    <cellStyle name="20% - Accent1 13" xfId="67" xr:uid="{00000000-0005-0000-0000-000004000000}"/>
    <cellStyle name="20% - Accent1 14" xfId="68" xr:uid="{00000000-0005-0000-0000-000005000000}"/>
    <cellStyle name="20% - Accent1 15" xfId="69" xr:uid="{00000000-0005-0000-0000-000006000000}"/>
    <cellStyle name="20% - Accent1 16" xfId="70" xr:uid="{00000000-0005-0000-0000-000007000000}"/>
    <cellStyle name="20% - Accent1 17" xfId="71" xr:uid="{00000000-0005-0000-0000-000008000000}"/>
    <cellStyle name="20% - Accent1 18" xfId="72" xr:uid="{00000000-0005-0000-0000-000009000000}"/>
    <cellStyle name="20% - Accent1 19" xfId="73" xr:uid="{00000000-0005-0000-0000-00000A000000}"/>
    <cellStyle name="20% - Accent1 2" xfId="74" xr:uid="{00000000-0005-0000-0000-00000B000000}"/>
    <cellStyle name="20% - Accent1 2 10" xfId="75" xr:uid="{00000000-0005-0000-0000-00000C000000}"/>
    <cellStyle name="20% - Accent1 2 11" xfId="76" xr:uid="{00000000-0005-0000-0000-00000D000000}"/>
    <cellStyle name="20% - Accent1 2 12" xfId="77" xr:uid="{00000000-0005-0000-0000-00000E000000}"/>
    <cellStyle name="20% - Accent1 2 13" xfId="78" xr:uid="{00000000-0005-0000-0000-00000F000000}"/>
    <cellStyle name="20% - Accent1 2 14" xfId="79" xr:uid="{00000000-0005-0000-0000-000010000000}"/>
    <cellStyle name="20% - Accent1 2 15" xfId="80" xr:uid="{00000000-0005-0000-0000-000011000000}"/>
    <cellStyle name="20% - Accent1 2 16" xfId="81" xr:uid="{00000000-0005-0000-0000-000012000000}"/>
    <cellStyle name="20% - Accent1 2 17" xfId="82" xr:uid="{00000000-0005-0000-0000-000013000000}"/>
    <cellStyle name="20% - Accent1 2 18" xfId="83" xr:uid="{00000000-0005-0000-0000-000014000000}"/>
    <cellStyle name="20% - Accent1 2 19" xfId="84" xr:uid="{00000000-0005-0000-0000-000015000000}"/>
    <cellStyle name="20% - Accent1 2 2" xfId="85" xr:uid="{00000000-0005-0000-0000-000016000000}"/>
    <cellStyle name="20% - Accent1 2 20" xfId="86" xr:uid="{00000000-0005-0000-0000-000017000000}"/>
    <cellStyle name="20% - Accent1 2 21" xfId="87" xr:uid="{00000000-0005-0000-0000-000018000000}"/>
    <cellStyle name="20% - Accent1 2 22" xfId="88" xr:uid="{00000000-0005-0000-0000-000019000000}"/>
    <cellStyle name="20% - Accent1 2 23" xfId="89" xr:uid="{00000000-0005-0000-0000-00001A000000}"/>
    <cellStyle name="20% - Accent1 2 24" xfId="90" xr:uid="{00000000-0005-0000-0000-00001B000000}"/>
    <cellStyle name="20% - Accent1 2 25" xfId="91" xr:uid="{00000000-0005-0000-0000-00001C000000}"/>
    <cellStyle name="20% - Accent1 2 26" xfId="92" xr:uid="{00000000-0005-0000-0000-00001D000000}"/>
    <cellStyle name="20% - Accent1 2 27" xfId="93" xr:uid="{00000000-0005-0000-0000-00001E000000}"/>
    <cellStyle name="20% - Accent1 2 3" xfId="94" xr:uid="{00000000-0005-0000-0000-00001F000000}"/>
    <cellStyle name="20% - Accent1 2 4" xfId="95" xr:uid="{00000000-0005-0000-0000-000020000000}"/>
    <cellStyle name="20% - Accent1 2 5" xfId="96" xr:uid="{00000000-0005-0000-0000-000021000000}"/>
    <cellStyle name="20% - Accent1 2 6" xfId="97" xr:uid="{00000000-0005-0000-0000-000022000000}"/>
    <cellStyle name="20% - Accent1 2 7" xfId="98" xr:uid="{00000000-0005-0000-0000-000023000000}"/>
    <cellStyle name="20% - Accent1 2 8" xfId="99" xr:uid="{00000000-0005-0000-0000-000024000000}"/>
    <cellStyle name="20% - Accent1 2 9" xfId="100" xr:uid="{00000000-0005-0000-0000-000025000000}"/>
    <cellStyle name="20% - Accent1 20" xfId="101" xr:uid="{00000000-0005-0000-0000-000026000000}"/>
    <cellStyle name="20% - Accent1 21" xfId="102" xr:uid="{00000000-0005-0000-0000-000027000000}"/>
    <cellStyle name="20% - Accent1 22" xfId="103" xr:uid="{00000000-0005-0000-0000-000028000000}"/>
    <cellStyle name="20% - Accent1 23" xfId="104" xr:uid="{00000000-0005-0000-0000-000029000000}"/>
    <cellStyle name="20% - Accent1 24" xfId="105" xr:uid="{00000000-0005-0000-0000-00002A000000}"/>
    <cellStyle name="20% - Accent1 25" xfId="106" xr:uid="{00000000-0005-0000-0000-00002B000000}"/>
    <cellStyle name="20% - Accent1 26" xfId="107" xr:uid="{00000000-0005-0000-0000-00002C000000}"/>
    <cellStyle name="20% - Accent1 27" xfId="108" xr:uid="{00000000-0005-0000-0000-00002D000000}"/>
    <cellStyle name="20% - Accent1 28" xfId="109" xr:uid="{00000000-0005-0000-0000-00002E000000}"/>
    <cellStyle name="20% - Accent1 3" xfId="110" xr:uid="{00000000-0005-0000-0000-00002F000000}"/>
    <cellStyle name="20% - Accent1 4" xfId="111" xr:uid="{00000000-0005-0000-0000-000030000000}"/>
    <cellStyle name="20% - Accent1 5" xfId="112" xr:uid="{00000000-0005-0000-0000-000031000000}"/>
    <cellStyle name="20% - Accent1 6" xfId="113" xr:uid="{00000000-0005-0000-0000-000032000000}"/>
    <cellStyle name="20% - Accent1 7" xfId="114" xr:uid="{00000000-0005-0000-0000-000033000000}"/>
    <cellStyle name="20% - Accent1 8" xfId="115" xr:uid="{00000000-0005-0000-0000-000034000000}"/>
    <cellStyle name="20% - Accent1 9" xfId="116" xr:uid="{00000000-0005-0000-0000-000035000000}"/>
    <cellStyle name="20% - Accent2" xfId="39" builtinId="34" customBuiltin="1"/>
    <cellStyle name="20% - Accent2 10" xfId="117" xr:uid="{00000000-0005-0000-0000-000037000000}"/>
    <cellStyle name="20% - Accent2 11" xfId="118" xr:uid="{00000000-0005-0000-0000-000038000000}"/>
    <cellStyle name="20% - Accent2 12" xfId="119" xr:uid="{00000000-0005-0000-0000-000039000000}"/>
    <cellStyle name="20% - Accent2 13" xfId="120" xr:uid="{00000000-0005-0000-0000-00003A000000}"/>
    <cellStyle name="20% - Accent2 14" xfId="121" xr:uid="{00000000-0005-0000-0000-00003B000000}"/>
    <cellStyle name="20% - Accent2 15" xfId="122" xr:uid="{00000000-0005-0000-0000-00003C000000}"/>
    <cellStyle name="20% - Accent2 16" xfId="123" xr:uid="{00000000-0005-0000-0000-00003D000000}"/>
    <cellStyle name="20% - Accent2 17" xfId="124" xr:uid="{00000000-0005-0000-0000-00003E000000}"/>
    <cellStyle name="20% - Accent2 18" xfId="125" xr:uid="{00000000-0005-0000-0000-00003F000000}"/>
    <cellStyle name="20% - Accent2 19" xfId="126" xr:uid="{00000000-0005-0000-0000-000040000000}"/>
    <cellStyle name="20% - Accent2 2" xfId="127" xr:uid="{00000000-0005-0000-0000-000041000000}"/>
    <cellStyle name="20% - Accent2 2 10" xfId="128" xr:uid="{00000000-0005-0000-0000-000042000000}"/>
    <cellStyle name="20% - Accent2 2 11" xfId="129" xr:uid="{00000000-0005-0000-0000-000043000000}"/>
    <cellStyle name="20% - Accent2 2 12" xfId="130" xr:uid="{00000000-0005-0000-0000-000044000000}"/>
    <cellStyle name="20% - Accent2 2 13" xfId="131" xr:uid="{00000000-0005-0000-0000-000045000000}"/>
    <cellStyle name="20% - Accent2 2 14" xfId="132" xr:uid="{00000000-0005-0000-0000-000046000000}"/>
    <cellStyle name="20% - Accent2 2 15" xfId="133" xr:uid="{00000000-0005-0000-0000-000047000000}"/>
    <cellStyle name="20% - Accent2 2 16" xfId="134" xr:uid="{00000000-0005-0000-0000-000048000000}"/>
    <cellStyle name="20% - Accent2 2 17" xfId="135" xr:uid="{00000000-0005-0000-0000-000049000000}"/>
    <cellStyle name="20% - Accent2 2 18" xfId="136" xr:uid="{00000000-0005-0000-0000-00004A000000}"/>
    <cellStyle name="20% - Accent2 2 19" xfId="137" xr:uid="{00000000-0005-0000-0000-00004B000000}"/>
    <cellStyle name="20% - Accent2 2 2" xfId="138" xr:uid="{00000000-0005-0000-0000-00004C000000}"/>
    <cellStyle name="20% - Accent2 2 20" xfId="139" xr:uid="{00000000-0005-0000-0000-00004D000000}"/>
    <cellStyle name="20% - Accent2 2 21" xfId="140" xr:uid="{00000000-0005-0000-0000-00004E000000}"/>
    <cellStyle name="20% - Accent2 2 22" xfId="141" xr:uid="{00000000-0005-0000-0000-00004F000000}"/>
    <cellStyle name="20% - Accent2 2 23" xfId="142" xr:uid="{00000000-0005-0000-0000-000050000000}"/>
    <cellStyle name="20% - Accent2 2 24" xfId="143" xr:uid="{00000000-0005-0000-0000-000051000000}"/>
    <cellStyle name="20% - Accent2 2 25" xfId="144" xr:uid="{00000000-0005-0000-0000-000052000000}"/>
    <cellStyle name="20% - Accent2 2 26" xfId="145" xr:uid="{00000000-0005-0000-0000-000053000000}"/>
    <cellStyle name="20% - Accent2 2 27" xfId="146" xr:uid="{00000000-0005-0000-0000-000054000000}"/>
    <cellStyle name="20% - Accent2 2 3" xfId="147" xr:uid="{00000000-0005-0000-0000-000055000000}"/>
    <cellStyle name="20% - Accent2 2 4" xfId="148" xr:uid="{00000000-0005-0000-0000-000056000000}"/>
    <cellStyle name="20% - Accent2 2 5" xfId="149" xr:uid="{00000000-0005-0000-0000-000057000000}"/>
    <cellStyle name="20% - Accent2 2 6" xfId="150" xr:uid="{00000000-0005-0000-0000-000058000000}"/>
    <cellStyle name="20% - Accent2 2 7" xfId="151" xr:uid="{00000000-0005-0000-0000-000059000000}"/>
    <cellStyle name="20% - Accent2 2 8" xfId="152" xr:uid="{00000000-0005-0000-0000-00005A000000}"/>
    <cellStyle name="20% - Accent2 2 9" xfId="153" xr:uid="{00000000-0005-0000-0000-00005B000000}"/>
    <cellStyle name="20% - Accent2 20" xfId="154" xr:uid="{00000000-0005-0000-0000-00005C000000}"/>
    <cellStyle name="20% - Accent2 21" xfId="155" xr:uid="{00000000-0005-0000-0000-00005D000000}"/>
    <cellStyle name="20% - Accent2 22" xfId="156" xr:uid="{00000000-0005-0000-0000-00005E000000}"/>
    <cellStyle name="20% - Accent2 23" xfId="157" xr:uid="{00000000-0005-0000-0000-00005F000000}"/>
    <cellStyle name="20% - Accent2 24" xfId="158" xr:uid="{00000000-0005-0000-0000-000060000000}"/>
    <cellStyle name="20% - Accent2 25" xfId="159" xr:uid="{00000000-0005-0000-0000-000061000000}"/>
    <cellStyle name="20% - Accent2 26" xfId="160" xr:uid="{00000000-0005-0000-0000-000062000000}"/>
    <cellStyle name="20% - Accent2 27" xfId="161" xr:uid="{00000000-0005-0000-0000-000063000000}"/>
    <cellStyle name="20% - Accent2 28" xfId="162" xr:uid="{00000000-0005-0000-0000-000064000000}"/>
    <cellStyle name="20% - Accent2 3" xfId="163" xr:uid="{00000000-0005-0000-0000-000065000000}"/>
    <cellStyle name="20% - Accent2 4" xfId="164" xr:uid="{00000000-0005-0000-0000-000066000000}"/>
    <cellStyle name="20% - Accent2 5" xfId="165" xr:uid="{00000000-0005-0000-0000-000067000000}"/>
    <cellStyle name="20% - Accent2 6" xfId="166" xr:uid="{00000000-0005-0000-0000-000068000000}"/>
    <cellStyle name="20% - Accent2 7" xfId="167" xr:uid="{00000000-0005-0000-0000-000069000000}"/>
    <cellStyle name="20% - Accent2 8" xfId="168" xr:uid="{00000000-0005-0000-0000-00006A000000}"/>
    <cellStyle name="20% - Accent2 9" xfId="169" xr:uid="{00000000-0005-0000-0000-00006B000000}"/>
    <cellStyle name="20% - Accent3" xfId="43" builtinId="38" customBuiltin="1"/>
    <cellStyle name="20% - Accent3 10" xfId="170" xr:uid="{00000000-0005-0000-0000-00006D000000}"/>
    <cellStyle name="20% - Accent3 11" xfId="171" xr:uid="{00000000-0005-0000-0000-00006E000000}"/>
    <cellStyle name="20% - Accent3 12" xfId="172" xr:uid="{00000000-0005-0000-0000-00006F000000}"/>
    <cellStyle name="20% - Accent3 13" xfId="173" xr:uid="{00000000-0005-0000-0000-000070000000}"/>
    <cellStyle name="20% - Accent3 14" xfId="174" xr:uid="{00000000-0005-0000-0000-000071000000}"/>
    <cellStyle name="20% - Accent3 15" xfId="175" xr:uid="{00000000-0005-0000-0000-000072000000}"/>
    <cellStyle name="20% - Accent3 16" xfId="176" xr:uid="{00000000-0005-0000-0000-000073000000}"/>
    <cellStyle name="20% - Accent3 17" xfId="177" xr:uid="{00000000-0005-0000-0000-000074000000}"/>
    <cellStyle name="20% - Accent3 18" xfId="178" xr:uid="{00000000-0005-0000-0000-000075000000}"/>
    <cellStyle name="20% - Accent3 19" xfId="179" xr:uid="{00000000-0005-0000-0000-000076000000}"/>
    <cellStyle name="20% - Accent3 2" xfId="180" xr:uid="{00000000-0005-0000-0000-000077000000}"/>
    <cellStyle name="20% - Accent3 2 10" xfId="181" xr:uid="{00000000-0005-0000-0000-000078000000}"/>
    <cellStyle name="20% - Accent3 2 11" xfId="182" xr:uid="{00000000-0005-0000-0000-000079000000}"/>
    <cellStyle name="20% - Accent3 2 12" xfId="183" xr:uid="{00000000-0005-0000-0000-00007A000000}"/>
    <cellStyle name="20% - Accent3 2 13" xfId="184" xr:uid="{00000000-0005-0000-0000-00007B000000}"/>
    <cellStyle name="20% - Accent3 2 14" xfId="185" xr:uid="{00000000-0005-0000-0000-00007C000000}"/>
    <cellStyle name="20% - Accent3 2 15" xfId="186" xr:uid="{00000000-0005-0000-0000-00007D000000}"/>
    <cellStyle name="20% - Accent3 2 16" xfId="187" xr:uid="{00000000-0005-0000-0000-00007E000000}"/>
    <cellStyle name="20% - Accent3 2 17" xfId="188" xr:uid="{00000000-0005-0000-0000-00007F000000}"/>
    <cellStyle name="20% - Accent3 2 18" xfId="189" xr:uid="{00000000-0005-0000-0000-000080000000}"/>
    <cellStyle name="20% - Accent3 2 19" xfId="190" xr:uid="{00000000-0005-0000-0000-000081000000}"/>
    <cellStyle name="20% - Accent3 2 2" xfId="191" xr:uid="{00000000-0005-0000-0000-000082000000}"/>
    <cellStyle name="20% - Accent3 2 20" xfId="192" xr:uid="{00000000-0005-0000-0000-000083000000}"/>
    <cellStyle name="20% - Accent3 2 21" xfId="193" xr:uid="{00000000-0005-0000-0000-000084000000}"/>
    <cellStyle name="20% - Accent3 2 22" xfId="194" xr:uid="{00000000-0005-0000-0000-000085000000}"/>
    <cellStyle name="20% - Accent3 2 23" xfId="195" xr:uid="{00000000-0005-0000-0000-000086000000}"/>
    <cellStyle name="20% - Accent3 2 24" xfId="196" xr:uid="{00000000-0005-0000-0000-000087000000}"/>
    <cellStyle name="20% - Accent3 2 25" xfId="197" xr:uid="{00000000-0005-0000-0000-000088000000}"/>
    <cellStyle name="20% - Accent3 2 26" xfId="198" xr:uid="{00000000-0005-0000-0000-000089000000}"/>
    <cellStyle name="20% - Accent3 2 27" xfId="199" xr:uid="{00000000-0005-0000-0000-00008A000000}"/>
    <cellStyle name="20% - Accent3 2 3" xfId="200" xr:uid="{00000000-0005-0000-0000-00008B000000}"/>
    <cellStyle name="20% - Accent3 2 4" xfId="201" xr:uid="{00000000-0005-0000-0000-00008C000000}"/>
    <cellStyle name="20% - Accent3 2 5" xfId="202" xr:uid="{00000000-0005-0000-0000-00008D000000}"/>
    <cellStyle name="20% - Accent3 2 6" xfId="203" xr:uid="{00000000-0005-0000-0000-00008E000000}"/>
    <cellStyle name="20% - Accent3 2 7" xfId="204" xr:uid="{00000000-0005-0000-0000-00008F000000}"/>
    <cellStyle name="20% - Accent3 2 8" xfId="205" xr:uid="{00000000-0005-0000-0000-000090000000}"/>
    <cellStyle name="20% - Accent3 2 9" xfId="206" xr:uid="{00000000-0005-0000-0000-000091000000}"/>
    <cellStyle name="20% - Accent3 20" xfId="207" xr:uid="{00000000-0005-0000-0000-000092000000}"/>
    <cellStyle name="20% - Accent3 21" xfId="208" xr:uid="{00000000-0005-0000-0000-000093000000}"/>
    <cellStyle name="20% - Accent3 22" xfId="209" xr:uid="{00000000-0005-0000-0000-000094000000}"/>
    <cellStyle name="20% - Accent3 23" xfId="210" xr:uid="{00000000-0005-0000-0000-000095000000}"/>
    <cellStyle name="20% - Accent3 24" xfId="211" xr:uid="{00000000-0005-0000-0000-000096000000}"/>
    <cellStyle name="20% - Accent3 25" xfId="212" xr:uid="{00000000-0005-0000-0000-000097000000}"/>
    <cellStyle name="20% - Accent3 26" xfId="213" xr:uid="{00000000-0005-0000-0000-000098000000}"/>
    <cellStyle name="20% - Accent3 27" xfId="214" xr:uid="{00000000-0005-0000-0000-000099000000}"/>
    <cellStyle name="20% - Accent3 28" xfId="215" xr:uid="{00000000-0005-0000-0000-00009A000000}"/>
    <cellStyle name="20% - Accent3 3" xfId="216" xr:uid="{00000000-0005-0000-0000-00009B000000}"/>
    <cellStyle name="20% - Accent3 4" xfId="217" xr:uid="{00000000-0005-0000-0000-00009C000000}"/>
    <cellStyle name="20% - Accent3 5" xfId="218" xr:uid="{00000000-0005-0000-0000-00009D000000}"/>
    <cellStyle name="20% - Accent3 6" xfId="219" xr:uid="{00000000-0005-0000-0000-00009E000000}"/>
    <cellStyle name="20% - Accent3 7" xfId="220" xr:uid="{00000000-0005-0000-0000-00009F000000}"/>
    <cellStyle name="20% - Accent3 8" xfId="221" xr:uid="{00000000-0005-0000-0000-0000A0000000}"/>
    <cellStyle name="20% - Accent3 9" xfId="222" xr:uid="{00000000-0005-0000-0000-0000A1000000}"/>
    <cellStyle name="20% - Accent4" xfId="47" builtinId="42" customBuiltin="1"/>
    <cellStyle name="20% - Accent4 10" xfId="223" xr:uid="{00000000-0005-0000-0000-0000A3000000}"/>
    <cellStyle name="20% - Accent4 11" xfId="224" xr:uid="{00000000-0005-0000-0000-0000A4000000}"/>
    <cellStyle name="20% - Accent4 12" xfId="225" xr:uid="{00000000-0005-0000-0000-0000A5000000}"/>
    <cellStyle name="20% - Accent4 13" xfId="226" xr:uid="{00000000-0005-0000-0000-0000A6000000}"/>
    <cellStyle name="20% - Accent4 14" xfId="227" xr:uid="{00000000-0005-0000-0000-0000A7000000}"/>
    <cellStyle name="20% - Accent4 15" xfId="228" xr:uid="{00000000-0005-0000-0000-0000A8000000}"/>
    <cellStyle name="20% - Accent4 16" xfId="229" xr:uid="{00000000-0005-0000-0000-0000A9000000}"/>
    <cellStyle name="20% - Accent4 17" xfId="230" xr:uid="{00000000-0005-0000-0000-0000AA000000}"/>
    <cellStyle name="20% - Accent4 18" xfId="231" xr:uid="{00000000-0005-0000-0000-0000AB000000}"/>
    <cellStyle name="20% - Accent4 19" xfId="232" xr:uid="{00000000-0005-0000-0000-0000AC000000}"/>
    <cellStyle name="20% - Accent4 2" xfId="233" xr:uid="{00000000-0005-0000-0000-0000AD000000}"/>
    <cellStyle name="20% - Accent4 2 10" xfId="234" xr:uid="{00000000-0005-0000-0000-0000AE000000}"/>
    <cellStyle name="20% - Accent4 2 11" xfId="235" xr:uid="{00000000-0005-0000-0000-0000AF000000}"/>
    <cellStyle name="20% - Accent4 2 12" xfId="236" xr:uid="{00000000-0005-0000-0000-0000B0000000}"/>
    <cellStyle name="20% - Accent4 2 13" xfId="237" xr:uid="{00000000-0005-0000-0000-0000B1000000}"/>
    <cellStyle name="20% - Accent4 2 14" xfId="238" xr:uid="{00000000-0005-0000-0000-0000B2000000}"/>
    <cellStyle name="20% - Accent4 2 15" xfId="239" xr:uid="{00000000-0005-0000-0000-0000B3000000}"/>
    <cellStyle name="20% - Accent4 2 16" xfId="240" xr:uid="{00000000-0005-0000-0000-0000B4000000}"/>
    <cellStyle name="20% - Accent4 2 17" xfId="241" xr:uid="{00000000-0005-0000-0000-0000B5000000}"/>
    <cellStyle name="20% - Accent4 2 18" xfId="242" xr:uid="{00000000-0005-0000-0000-0000B6000000}"/>
    <cellStyle name="20% - Accent4 2 19" xfId="243" xr:uid="{00000000-0005-0000-0000-0000B7000000}"/>
    <cellStyle name="20% - Accent4 2 2" xfId="244" xr:uid="{00000000-0005-0000-0000-0000B8000000}"/>
    <cellStyle name="20% - Accent4 2 20" xfId="245" xr:uid="{00000000-0005-0000-0000-0000B9000000}"/>
    <cellStyle name="20% - Accent4 2 21" xfId="246" xr:uid="{00000000-0005-0000-0000-0000BA000000}"/>
    <cellStyle name="20% - Accent4 2 22" xfId="247" xr:uid="{00000000-0005-0000-0000-0000BB000000}"/>
    <cellStyle name="20% - Accent4 2 23" xfId="248" xr:uid="{00000000-0005-0000-0000-0000BC000000}"/>
    <cellStyle name="20% - Accent4 2 24" xfId="249" xr:uid="{00000000-0005-0000-0000-0000BD000000}"/>
    <cellStyle name="20% - Accent4 2 25" xfId="250" xr:uid="{00000000-0005-0000-0000-0000BE000000}"/>
    <cellStyle name="20% - Accent4 2 26" xfId="251" xr:uid="{00000000-0005-0000-0000-0000BF000000}"/>
    <cellStyle name="20% - Accent4 2 27" xfId="252" xr:uid="{00000000-0005-0000-0000-0000C0000000}"/>
    <cellStyle name="20% - Accent4 2 3" xfId="253" xr:uid="{00000000-0005-0000-0000-0000C1000000}"/>
    <cellStyle name="20% - Accent4 2 4" xfId="254" xr:uid="{00000000-0005-0000-0000-0000C2000000}"/>
    <cellStyle name="20% - Accent4 2 5" xfId="255" xr:uid="{00000000-0005-0000-0000-0000C3000000}"/>
    <cellStyle name="20% - Accent4 2 6" xfId="256" xr:uid="{00000000-0005-0000-0000-0000C4000000}"/>
    <cellStyle name="20% - Accent4 2 7" xfId="257" xr:uid="{00000000-0005-0000-0000-0000C5000000}"/>
    <cellStyle name="20% - Accent4 2 8" xfId="258" xr:uid="{00000000-0005-0000-0000-0000C6000000}"/>
    <cellStyle name="20% - Accent4 2 9" xfId="259" xr:uid="{00000000-0005-0000-0000-0000C7000000}"/>
    <cellStyle name="20% - Accent4 20" xfId="260" xr:uid="{00000000-0005-0000-0000-0000C8000000}"/>
    <cellStyle name="20% - Accent4 21" xfId="261" xr:uid="{00000000-0005-0000-0000-0000C9000000}"/>
    <cellStyle name="20% - Accent4 22" xfId="262" xr:uid="{00000000-0005-0000-0000-0000CA000000}"/>
    <cellStyle name="20% - Accent4 23" xfId="263" xr:uid="{00000000-0005-0000-0000-0000CB000000}"/>
    <cellStyle name="20% - Accent4 24" xfId="264" xr:uid="{00000000-0005-0000-0000-0000CC000000}"/>
    <cellStyle name="20% - Accent4 25" xfId="265" xr:uid="{00000000-0005-0000-0000-0000CD000000}"/>
    <cellStyle name="20% - Accent4 26" xfId="266" xr:uid="{00000000-0005-0000-0000-0000CE000000}"/>
    <cellStyle name="20% - Accent4 27" xfId="267" xr:uid="{00000000-0005-0000-0000-0000CF000000}"/>
    <cellStyle name="20% - Accent4 28" xfId="268" xr:uid="{00000000-0005-0000-0000-0000D0000000}"/>
    <cellStyle name="20% - Accent4 3" xfId="269" xr:uid="{00000000-0005-0000-0000-0000D1000000}"/>
    <cellStyle name="20% - Accent4 4" xfId="270" xr:uid="{00000000-0005-0000-0000-0000D2000000}"/>
    <cellStyle name="20% - Accent4 5" xfId="271" xr:uid="{00000000-0005-0000-0000-0000D3000000}"/>
    <cellStyle name="20% - Accent4 6" xfId="272" xr:uid="{00000000-0005-0000-0000-0000D4000000}"/>
    <cellStyle name="20% - Accent4 7" xfId="273" xr:uid="{00000000-0005-0000-0000-0000D5000000}"/>
    <cellStyle name="20% - Accent4 8" xfId="274" xr:uid="{00000000-0005-0000-0000-0000D6000000}"/>
    <cellStyle name="20% - Accent4 9" xfId="275" xr:uid="{00000000-0005-0000-0000-0000D7000000}"/>
    <cellStyle name="20% - Accent5" xfId="51" builtinId="46" customBuiltin="1"/>
    <cellStyle name="20% - Accent5 10" xfId="276" xr:uid="{00000000-0005-0000-0000-0000D9000000}"/>
    <cellStyle name="20% - Accent5 11" xfId="277" xr:uid="{00000000-0005-0000-0000-0000DA000000}"/>
    <cellStyle name="20% - Accent5 12" xfId="278" xr:uid="{00000000-0005-0000-0000-0000DB000000}"/>
    <cellStyle name="20% - Accent5 13" xfId="279" xr:uid="{00000000-0005-0000-0000-0000DC000000}"/>
    <cellStyle name="20% - Accent5 14" xfId="280" xr:uid="{00000000-0005-0000-0000-0000DD000000}"/>
    <cellStyle name="20% - Accent5 15" xfId="281" xr:uid="{00000000-0005-0000-0000-0000DE000000}"/>
    <cellStyle name="20% - Accent5 16" xfId="282" xr:uid="{00000000-0005-0000-0000-0000DF000000}"/>
    <cellStyle name="20% - Accent5 17" xfId="283" xr:uid="{00000000-0005-0000-0000-0000E0000000}"/>
    <cellStyle name="20% - Accent5 18" xfId="284" xr:uid="{00000000-0005-0000-0000-0000E1000000}"/>
    <cellStyle name="20% - Accent5 19" xfId="285" xr:uid="{00000000-0005-0000-0000-0000E2000000}"/>
    <cellStyle name="20% - Accent5 2" xfId="286" xr:uid="{00000000-0005-0000-0000-0000E3000000}"/>
    <cellStyle name="20% - Accent5 2 10" xfId="287" xr:uid="{00000000-0005-0000-0000-0000E4000000}"/>
    <cellStyle name="20% - Accent5 2 11" xfId="288" xr:uid="{00000000-0005-0000-0000-0000E5000000}"/>
    <cellStyle name="20% - Accent5 2 12" xfId="289" xr:uid="{00000000-0005-0000-0000-0000E6000000}"/>
    <cellStyle name="20% - Accent5 2 13" xfId="290" xr:uid="{00000000-0005-0000-0000-0000E7000000}"/>
    <cellStyle name="20% - Accent5 2 14" xfId="291" xr:uid="{00000000-0005-0000-0000-0000E8000000}"/>
    <cellStyle name="20% - Accent5 2 15" xfId="292" xr:uid="{00000000-0005-0000-0000-0000E9000000}"/>
    <cellStyle name="20% - Accent5 2 16" xfId="293" xr:uid="{00000000-0005-0000-0000-0000EA000000}"/>
    <cellStyle name="20% - Accent5 2 17" xfId="294" xr:uid="{00000000-0005-0000-0000-0000EB000000}"/>
    <cellStyle name="20% - Accent5 2 18" xfId="295" xr:uid="{00000000-0005-0000-0000-0000EC000000}"/>
    <cellStyle name="20% - Accent5 2 19" xfId="296" xr:uid="{00000000-0005-0000-0000-0000ED000000}"/>
    <cellStyle name="20% - Accent5 2 2" xfId="297" xr:uid="{00000000-0005-0000-0000-0000EE000000}"/>
    <cellStyle name="20% - Accent5 2 20" xfId="298" xr:uid="{00000000-0005-0000-0000-0000EF000000}"/>
    <cellStyle name="20% - Accent5 2 21" xfId="299" xr:uid="{00000000-0005-0000-0000-0000F0000000}"/>
    <cellStyle name="20% - Accent5 2 22" xfId="300" xr:uid="{00000000-0005-0000-0000-0000F1000000}"/>
    <cellStyle name="20% - Accent5 2 23" xfId="301" xr:uid="{00000000-0005-0000-0000-0000F2000000}"/>
    <cellStyle name="20% - Accent5 2 24" xfId="302" xr:uid="{00000000-0005-0000-0000-0000F3000000}"/>
    <cellStyle name="20% - Accent5 2 25" xfId="303" xr:uid="{00000000-0005-0000-0000-0000F4000000}"/>
    <cellStyle name="20% - Accent5 2 26" xfId="304" xr:uid="{00000000-0005-0000-0000-0000F5000000}"/>
    <cellStyle name="20% - Accent5 2 27" xfId="305" xr:uid="{00000000-0005-0000-0000-0000F6000000}"/>
    <cellStyle name="20% - Accent5 2 3" xfId="306" xr:uid="{00000000-0005-0000-0000-0000F7000000}"/>
    <cellStyle name="20% - Accent5 2 4" xfId="307" xr:uid="{00000000-0005-0000-0000-0000F8000000}"/>
    <cellStyle name="20% - Accent5 2 5" xfId="308" xr:uid="{00000000-0005-0000-0000-0000F9000000}"/>
    <cellStyle name="20% - Accent5 2 6" xfId="309" xr:uid="{00000000-0005-0000-0000-0000FA000000}"/>
    <cellStyle name="20% - Accent5 2 7" xfId="310" xr:uid="{00000000-0005-0000-0000-0000FB000000}"/>
    <cellStyle name="20% - Accent5 2 8" xfId="311" xr:uid="{00000000-0005-0000-0000-0000FC000000}"/>
    <cellStyle name="20% - Accent5 2 9" xfId="312" xr:uid="{00000000-0005-0000-0000-0000FD000000}"/>
    <cellStyle name="20% - Accent5 20" xfId="313" xr:uid="{00000000-0005-0000-0000-0000FE000000}"/>
    <cellStyle name="20% - Accent5 21" xfId="314" xr:uid="{00000000-0005-0000-0000-0000FF000000}"/>
    <cellStyle name="20% - Accent5 22" xfId="315" xr:uid="{00000000-0005-0000-0000-000000010000}"/>
    <cellStyle name="20% - Accent5 23" xfId="316" xr:uid="{00000000-0005-0000-0000-000001010000}"/>
    <cellStyle name="20% - Accent5 24" xfId="317" xr:uid="{00000000-0005-0000-0000-000002010000}"/>
    <cellStyle name="20% - Accent5 25" xfId="318" xr:uid="{00000000-0005-0000-0000-000003010000}"/>
    <cellStyle name="20% - Accent5 26" xfId="319" xr:uid="{00000000-0005-0000-0000-000004010000}"/>
    <cellStyle name="20% - Accent5 27" xfId="320" xr:uid="{00000000-0005-0000-0000-000005010000}"/>
    <cellStyle name="20% - Accent5 28" xfId="321" xr:uid="{00000000-0005-0000-0000-000006010000}"/>
    <cellStyle name="20% - Accent5 3" xfId="322" xr:uid="{00000000-0005-0000-0000-000007010000}"/>
    <cellStyle name="20% - Accent5 4" xfId="323" xr:uid="{00000000-0005-0000-0000-000008010000}"/>
    <cellStyle name="20% - Accent5 5" xfId="324" xr:uid="{00000000-0005-0000-0000-000009010000}"/>
    <cellStyle name="20% - Accent5 6" xfId="325" xr:uid="{00000000-0005-0000-0000-00000A010000}"/>
    <cellStyle name="20% - Accent5 7" xfId="326" xr:uid="{00000000-0005-0000-0000-00000B010000}"/>
    <cellStyle name="20% - Accent5 8" xfId="327" xr:uid="{00000000-0005-0000-0000-00000C010000}"/>
    <cellStyle name="20% - Accent5 9" xfId="328" xr:uid="{00000000-0005-0000-0000-00000D010000}"/>
    <cellStyle name="20% - Accent6" xfId="55" builtinId="50" customBuiltin="1"/>
    <cellStyle name="20% - Accent6 10" xfId="329" xr:uid="{00000000-0005-0000-0000-00000F010000}"/>
    <cellStyle name="20% - Accent6 11" xfId="330" xr:uid="{00000000-0005-0000-0000-000010010000}"/>
    <cellStyle name="20% - Accent6 12" xfId="331" xr:uid="{00000000-0005-0000-0000-000011010000}"/>
    <cellStyle name="20% - Accent6 13" xfId="332" xr:uid="{00000000-0005-0000-0000-000012010000}"/>
    <cellStyle name="20% - Accent6 14" xfId="333" xr:uid="{00000000-0005-0000-0000-000013010000}"/>
    <cellStyle name="20% - Accent6 15" xfId="334" xr:uid="{00000000-0005-0000-0000-000014010000}"/>
    <cellStyle name="20% - Accent6 16" xfId="335" xr:uid="{00000000-0005-0000-0000-000015010000}"/>
    <cellStyle name="20% - Accent6 17" xfId="336" xr:uid="{00000000-0005-0000-0000-000016010000}"/>
    <cellStyle name="20% - Accent6 18" xfId="337" xr:uid="{00000000-0005-0000-0000-000017010000}"/>
    <cellStyle name="20% - Accent6 19" xfId="338" xr:uid="{00000000-0005-0000-0000-000018010000}"/>
    <cellStyle name="20% - Accent6 2" xfId="339" xr:uid="{00000000-0005-0000-0000-000019010000}"/>
    <cellStyle name="20% - Accent6 2 10" xfId="340" xr:uid="{00000000-0005-0000-0000-00001A010000}"/>
    <cellStyle name="20% - Accent6 2 11" xfId="341" xr:uid="{00000000-0005-0000-0000-00001B010000}"/>
    <cellStyle name="20% - Accent6 2 12" xfId="342" xr:uid="{00000000-0005-0000-0000-00001C010000}"/>
    <cellStyle name="20% - Accent6 2 13" xfId="343" xr:uid="{00000000-0005-0000-0000-00001D010000}"/>
    <cellStyle name="20% - Accent6 2 14" xfId="344" xr:uid="{00000000-0005-0000-0000-00001E010000}"/>
    <cellStyle name="20% - Accent6 2 15" xfId="345" xr:uid="{00000000-0005-0000-0000-00001F010000}"/>
    <cellStyle name="20% - Accent6 2 16" xfId="346" xr:uid="{00000000-0005-0000-0000-000020010000}"/>
    <cellStyle name="20% - Accent6 2 17" xfId="347" xr:uid="{00000000-0005-0000-0000-000021010000}"/>
    <cellStyle name="20% - Accent6 2 18" xfId="348" xr:uid="{00000000-0005-0000-0000-000022010000}"/>
    <cellStyle name="20% - Accent6 2 19" xfId="349" xr:uid="{00000000-0005-0000-0000-000023010000}"/>
    <cellStyle name="20% - Accent6 2 2" xfId="350" xr:uid="{00000000-0005-0000-0000-000024010000}"/>
    <cellStyle name="20% - Accent6 2 20" xfId="351" xr:uid="{00000000-0005-0000-0000-000025010000}"/>
    <cellStyle name="20% - Accent6 2 21" xfId="352" xr:uid="{00000000-0005-0000-0000-000026010000}"/>
    <cellStyle name="20% - Accent6 2 22" xfId="353" xr:uid="{00000000-0005-0000-0000-000027010000}"/>
    <cellStyle name="20% - Accent6 2 23" xfId="354" xr:uid="{00000000-0005-0000-0000-000028010000}"/>
    <cellStyle name="20% - Accent6 2 24" xfId="355" xr:uid="{00000000-0005-0000-0000-000029010000}"/>
    <cellStyle name="20% - Accent6 2 25" xfId="356" xr:uid="{00000000-0005-0000-0000-00002A010000}"/>
    <cellStyle name="20% - Accent6 2 26" xfId="357" xr:uid="{00000000-0005-0000-0000-00002B010000}"/>
    <cellStyle name="20% - Accent6 2 27" xfId="358" xr:uid="{00000000-0005-0000-0000-00002C010000}"/>
    <cellStyle name="20% - Accent6 2 3" xfId="359" xr:uid="{00000000-0005-0000-0000-00002D010000}"/>
    <cellStyle name="20% - Accent6 2 4" xfId="360" xr:uid="{00000000-0005-0000-0000-00002E010000}"/>
    <cellStyle name="20% - Accent6 2 5" xfId="361" xr:uid="{00000000-0005-0000-0000-00002F010000}"/>
    <cellStyle name="20% - Accent6 2 6" xfId="362" xr:uid="{00000000-0005-0000-0000-000030010000}"/>
    <cellStyle name="20% - Accent6 2 7" xfId="363" xr:uid="{00000000-0005-0000-0000-000031010000}"/>
    <cellStyle name="20% - Accent6 2 8" xfId="364" xr:uid="{00000000-0005-0000-0000-000032010000}"/>
    <cellStyle name="20% - Accent6 2 9" xfId="365" xr:uid="{00000000-0005-0000-0000-000033010000}"/>
    <cellStyle name="20% - Accent6 20" xfId="366" xr:uid="{00000000-0005-0000-0000-000034010000}"/>
    <cellStyle name="20% - Accent6 21" xfId="367" xr:uid="{00000000-0005-0000-0000-000035010000}"/>
    <cellStyle name="20% - Accent6 22" xfId="368" xr:uid="{00000000-0005-0000-0000-000036010000}"/>
    <cellStyle name="20% - Accent6 23" xfId="369" xr:uid="{00000000-0005-0000-0000-000037010000}"/>
    <cellStyle name="20% - Accent6 24" xfId="370" xr:uid="{00000000-0005-0000-0000-000038010000}"/>
    <cellStyle name="20% - Accent6 25" xfId="371" xr:uid="{00000000-0005-0000-0000-000039010000}"/>
    <cellStyle name="20% - Accent6 26" xfId="372" xr:uid="{00000000-0005-0000-0000-00003A010000}"/>
    <cellStyle name="20% - Accent6 27" xfId="373" xr:uid="{00000000-0005-0000-0000-00003B010000}"/>
    <cellStyle name="20% - Accent6 28" xfId="374" xr:uid="{00000000-0005-0000-0000-00003C010000}"/>
    <cellStyle name="20% - Accent6 3" xfId="375" xr:uid="{00000000-0005-0000-0000-00003D010000}"/>
    <cellStyle name="20% - Accent6 4" xfId="376" xr:uid="{00000000-0005-0000-0000-00003E010000}"/>
    <cellStyle name="20% - Accent6 5" xfId="377" xr:uid="{00000000-0005-0000-0000-00003F010000}"/>
    <cellStyle name="20% - Accent6 6" xfId="378" xr:uid="{00000000-0005-0000-0000-000040010000}"/>
    <cellStyle name="20% - Accent6 7" xfId="379" xr:uid="{00000000-0005-0000-0000-000041010000}"/>
    <cellStyle name="20% - Accent6 8" xfId="380" xr:uid="{00000000-0005-0000-0000-000042010000}"/>
    <cellStyle name="20% - Accent6 9" xfId="381" xr:uid="{00000000-0005-0000-0000-000043010000}"/>
    <cellStyle name="40% - Accent1" xfId="36" builtinId="31" customBuiltin="1"/>
    <cellStyle name="40% - Accent1 10" xfId="382" xr:uid="{00000000-0005-0000-0000-000045010000}"/>
    <cellStyle name="40% - Accent1 11" xfId="383" xr:uid="{00000000-0005-0000-0000-000046010000}"/>
    <cellStyle name="40% - Accent1 12" xfId="384" xr:uid="{00000000-0005-0000-0000-000047010000}"/>
    <cellStyle name="40% - Accent1 13" xfId="385" xr:uid="{00000000-0005-0000-0000-000048010000}"/>
    <cellStyle name="40% - Accent1 14" xfId="386" xr:uid="{00000000-0005-0000-0000-000049010000}"/>
    <cellStyle name="40% - Accent1 15" xfId="387" xr:uid="{00000000-0005-0000-0000-00004A010000}"/>
    <cellStyle name="40% - Accent1 16" xfId="388" xr:uid="{00000000-0005-0000-0000-00004B010000}"/>
    <cellStyle name="40% - Accent1 17" xfId="389" xr:uid="{00000000-0005-0000-0000-00004C010000}"/>
    <cellStyle name="40% - Accent1 18" xfId="390" xr:uid="{00000000-0005-0000-0000-00004D010000}"/>
    <cellStyle name="40% - Accent1 19" xfId="391" xr:uid="{00000000-0005-0000-0000-00004E010000}"/>
    <cellStyle name="40% - Accent1 2" xfId="392" xr:uid="{00000000-0005-0000-0000-00004F010000}"/>
    <cellStyle name="40% - Accent1 2 10" xfId="393" xr:uid="{00000000-0005-0000-0000-000050010000}"/>
    <cellStyle name="40% - Accent1 2 11" xfId="394" xr:uid="{00000000-0005-0000-0000-000051010000}"/>
    <cellStyle name="40% - Accent1 2 12" xfId="395" xr:uid="{00000000-0005-0000-0000-000052010000}"/>
    <cellStyle name="40% - Accent1 2 13" xfId="396" xr:uid="{00000000-0005-0000-0000-000053010000}"/>
    <cellStyle name="40% - Accent1 2 14" xfId="397" xr:uid="{00000000-0005-0000-0000-000054010000}"/>
    <cellStyle name="40% - Accent1 2 15" xfId="398" xr:uid="{00000000-0005-0000-0000-000055010000}"/>
    <cellStyle name="40% - Accent1 2 16" xfId="399" xr:uid="{00000000-0005-0000-0000-000056010000}"/>
    <cellStyle name="40% - Accent1 2 17" xfId="400" xr:uid="{00000000-0005-0000-0000-000057010000}"/>
    <cellStyle name="40% - Accent1 2 18" xfId="401" xr:uid="{00000000-0005-0000-0000-000058010000}"/>
    <cellStyle name="40% - Accent1 2 19" xfId="402" xr:uid="{00000000-0005-0000-0000-000059010000}"/>
    <cellStyle name="40% - Accent1 2 2" xfId="403" xr:uid="{00000000-0005-0000-0000-00005A010000}"/>
    <cellStyle name="40% - Accent1 2 20" xfId="404" xr:uid="{00000000-0005-0000-0000-00005B010000}"/>
    <cellStyle name="40% - Accent1 2 21" xfId="405" xr:uid="{00000000-0005-0000-0000-00005C010000}"/>
    <cellStyle name="40% - Accent1 2 22" xfId="406" xr:uid="{00000000-0005-0000-0000-00005D010000}"/>
    <cellStyle name="40% - Accent1 2 23" xfId="407" xr:uid="{00000000-0005-0000-0000-00005E010000}"/>
    <cellStyle name="40% - Accent1 2 24" xfId="408" xr:uid="{00000000-0005-0000-0000-00005F010000}"/>
    <cellStyle name="40% - Accent1 2 25" xfId="409" xr:uid="{00000000-0005-0000-0000-000060010000}"/>
    <cellStyle name="40% - Accent1 2 26" xfId="410" xr:uid="{00000000-0005-0000-0000-000061010000}"/>
    <cellStyle name="40% - Accent1 2 27" xfId="411" xr:uid="{00000000-0005-0000-0000-000062010000}"/>
    <cellStyle name="40% - Accent1 2 3" xfId="412" xr:uid="{00000000-0005-0000-0000-000063010000}"/>
    <cellStyle name="40% - Accent1 2 4" xfId="413" xr:uid="{00000000-0005-0000-0000-000064010000}"/>
    <cellStyle name="40% - Accent1 2 5" xfId="414" xr:uid="{00000000-0005-0000-0000-000065010000}"/>
    <cellStyle name="40% - Accent1 2 6" xfId="415" xr:uid="{00000000-0005-0000-0000-000066010000}"/>
    <cellStyle name="40% - Accent1 2 7" xfId="416" xr:uid="{00000000-0005-0000-0000-000067010000}"/>
    <cellStyle name="40% - Accent1 2 8" xfId="417" xr:uid="{00000000-0005-0000-0000-000068010000}"/>
    <cellStyle name="40% - Accent1 2 9" xfId="418" xr:uid="{00000000-0005-0000-0000-000069010000}"/>
    <cellStyle name="40% - Accent1 20" xfId="419" xr:uid="{00000000-0005-0000-0000-00006A010000}"/>
    <cellStyle name="40% - Accent1 21" xfId="420" xr:uid="{00000000-0005-0000-0000-00006B010000}"/>
    <cellStyle name="40% - Accent1 22" xfId="421" xr:uid="{00000000-0005-0000-0000-00006C010000}"/>
    <cellStyle name="40% - Accent1 23" xfId="422" xr:uid="{00000000-0005-0000-0000-00006D010000}"/>
    <cellStyle name="40% - Accent1 24" xfId="423" xr:uid="{00000000-0005-0000-0000-00006E010000}"/>
    <cellStyle name="40% - Accent1 25" xfId="424" xr:uid="{00000000-0005-0000-0000-00006F010000}"/>
    <cellStyle name="40% - Accent1 26" xfId="425" xr:uid="{00000000-0005-0000-0000-000070010000}"/>
    <cellStyle name="40% - Accent1 27" xfId="426" xr:uid="{00000000-0005-0000-0000-000071010000}"/>
    <cellStyle name="40% - Accent1 28" xfId="427" xr:uid="{00000000-0005-0000-0000-000072010000}"/>
    <cellStyle name="40% - Accent1 3" xfId="428" xr:uid="{00000000-0005-0000-0000-000073010000}"/>
    <cellStyle name="40% - Accent1 4" xfId="429" xr:uid="{00000000-0005-0000-0000-000074010000}"/>
    <cellStyle name="40% - Accent1 5" xfId="430" xr:uid="{00000000-0005-0000-0000-000075010000}"/>
    <cellStyle name="40% - Accent1 6" xfId="431" xr:uid="{00000000-0005-0000-0000-000076010000}"/>
    <cellStyle name="40% - Accent1 7" xfId="432" xr:uid="{00000000-0005-0000-0000-000077010000}"/>
    <cellStyle name="40% - Accent1 8" xfId="433" xr:uid="{00000000-0005-0000-0000-000078010000}"/>
    <cellStyle name="40% - Accent1 9" xfId="434" xr:uid="{00000000-0005-0000-0000-000079010000}"/>
    <cellStyle name="40% - Accent2" xfId="40" builtinId="35" customBuiltin="1"/>
    <cellStyle name="40% - Accent2 10" xfId="435" xr:uid="{00000000-0005-0000-0000-00007B010000}"/>
    <cellStyle name="40% - Accent2 11" xfId="436" xr:uid="{00000000-0005-0000-0000-00007C010000}"/>
    <cellStyle name="40% - Accent2 12" xfId="437" xr:uid="{00000000-0005-0000-0000-00007D010000}"/>
    <cellStyle name="40% - Accent2 13" xfId="438" xr:uid="{00000000-0005-0000-0000-00007E010000}"/>
    <cellStyle name="40% - Accent2 14" xfId="439" xr:uid="{00000000-0005-0000-0000-00007F010000}"/>
    <cellStyle name="40% - Accent2 15" xfId="440" xr:uid="{00000000-0005-0000-0000-000080010000}"/>
    <cellStyle name="40% - Accent2 16" xfId="441" xr:uid="{00000000-0005-0000-0000-000081010000}"/>
    <cellStyle name="40% - Accent2 17" xfId="442" xr:uid="{00000000-0005-0000-0000-000082010000}"/>
    <cellStyle name="40% - Accent2 18" xfId="443" xr:uid="{00000000-0005-0000-0000-000083010000}"/>
    <cellStyle name="40% - Accent2 19" xfId="444" xr:uid="{00000000-0005-0000-0000-000084010000}"/>
    <cellStyle name="40% - Accent2 2" xfId="445" xr:uid="{00000000-0005-0000-0000-000085010000}"/>
    <cellStyle name="40% - Accent2 2 10" xfId="446" xr:uid="{00000000-0005-0000-0000-000086010000}"/>
    <cellStyle name="40% - Accent2 2 11" xfId="447" xr:uid="{00000000-0005-0000-0000-000087010000}"/>
    <cellStyle name="40% - Accent2 2 12" xfId="448" xr:uid="{00000000-0005-0000-0000-000088010000}"/>
    <cellStyle name="40% - Accent2 2 13" xfId="449" xr:uid="{00000000-0005-0000-0000-000089010000}"/>
    <cellStyle name="40% - Accent2 2 14" xfId="450" xr:uid="{00000000-0005-0000-0000-00008A010000}"/>
    <cellStyle name="40% - Accent2 2 15" xfId="451" xr:uid="{00000000-0005-0000-0000-00008B010000}"/>
    <cellStyle name="40% - Accent2 2 16" xfId="452" xr:uid="{00000000-0005-0000-0000-00008C010000}"/>
    <cellStyle name="40% - Accent2 2 17" xfId="453" xr:uid="{00000000-0005-0000-0000-00008D010000}"/>
    <cellStyle name="40% - Accent2 2 18" xfId="454" xr:uid="{00000000-0005-0000-0000-00008E010000}"/>
    <cellStyle name="40% - Accent2 2 19" xfId="455" xr:uid="{00000000-0005-0000-0000-00008F010000}"/>
    <cellStyle name="40% - Accent2 2 2" xfId="456" xr:uid="{00000000-0005-0000-0000-000090010000}"/>
    <cellStyle name="40% - Accent2 2 20" xfId="457" xr:uid="{00000000-0005-0000-0000-000091010000}"/>
    <cellStyle name="40% - Accent2 2 21" xfId="458" xr:uid="{00000000-0005-0000-0000-000092010000}"/>
    <cellStyle name="40% - Accent2 2 22" xfId="459" xr:uid="{00000000-0005-0000-0000-000093010000}"/>
    <cellStyle name="40% - Accent2 2 23" xfId="460" xr:uid="{00000000-0005-0000-0000-000094010000}"/>
    <cellStyle name="40% - Accent2 2 24" xfId="461" xr:uid="{00000000-0005-0000-0000-000095010000}"/>
    <cellStyle name="40% - Accent2 2 25" xfId="462" xr:uid="{00000000-0005-0000-0000-000096010000}"/>
    <cellStyle name="40% - Accent2 2 26" xfId="463" xr:uid="{00000000-0005-0000-0000-000097010000}"/>
    <cellStyle name="40% - Accent2 2 27" xfId="464" xr:uid="{00000000-0005-0000-0000-000098010000}"/>
    <cellStyle name="40% - Accent2 2 3" xfId="465" xr:uid="{00000000-0005-0000-0000-000099010000}"/>
    <cellStyle name="40% - Accent2 2 4" xfId="466" xr:uid="{00000000-0005-0000-0000-00009A010000}"/>
    <cellStyle name="40% - Accent2 2 5" xfId="467" xr:uid="{00000000-0005-0000-0000-00009B010000}"/>
    <cellStyle name="40% - Accent2 2 6" xfId="468" xr:uid="{00000000-0005-0000-0000-00009C010000}"/>
    <cellStyle name="40% - Accent2 2 7" xfId="469" xr:uid="{00000000-0005-0000-0000-00009D010000}"/>
    <cellStyle name="40% - Accent2 2 8" xfId="470" xr:uid="{00000000-0005-0000-0000-00009E010000}"/>
    <cellStyle name="40% - Accent2 2 9" xfId="471" xr:uid="{00000000-0005-0000-0000-00009F010000}"/>
    <cellStyle name="40% - Accent2 20" xfId="472" xr:uid="{00000000-0005-0000-0000-0000A0010000}"/>
    <cellStyle name="40% - Accent2 21" xfId="473" xr:uid="{00000000-0005-0000-0000-0000A1010000}"/>
    <cellStyle name="40% - Accent2 22" xfId="474" xr:uid="{00000000-0005-0000-0000-0000A2010000}"/>
    <cellStyle name="40% - Accent2 23" xfId="475" xr:uid="{00000000-0005-0000-0000-0000A3010000}"/>
    <cellStyle name="40% - Accent2 24" xfId="476" xr:uid="{00000000-0005-0000-0000-0000A4010000}"/>
    <cellStyle name="40% - Accent2 25" xfId="477" xr:uid="{00000000-0005-0000-0000-0000A5010000}"/>
    <cellStyle name="40% - Accent2 26" xfId="478" xr:uid="{00000000-0005-0000-0000-0000A6010000}"/>
    <cellStyle name="40% - Accent2 27" xfId="479" xr:uid="{00000000-0005-0000-0000-0000A7010000}"/>
    <cellStyle name="40% - Accent2 28" xfId="480" xr:uid="{00000000-0005-0000-0000-0000A8010000}"/>
    <cellStyle name="40% - Accent2 3" xfId="481" xr:uid="{00000000-0005-0000-0000-0000A9010000}"/>
    <cellStyle name="40% - Accent2 4" xfId="482" xr:uid="{00000000-0005-0000-0000-0000AA010000}"/>
    <cellStyle name="40% - Accent2 5" xfId="483" xr:uid="{00000000-0005-0000-0000-0000AB010000}"/>
    <cellStyle name="40% - Accent2 6" xfId="484" xr:uid="{00000000-0005-0000-0000-0000AC010000}"/>
    <cellStyle name="40% - Accent2 7" xfId="485" xr:uid="{00000000-0005-0000-0000-0000AD010000}"/>
    <cellStyle name="40% - Accent2 8" xfId="486" xr:uid="{00000000-0005-0000-0000-0000AE010000}"/>
    <cellStyle name="40% - Accent2 9" xfId="487" xr:uid="{00000000-0005-0000-0000-0000AF010000}"/>
    <cellStyle name="40% - Accent3" xfId="44" builtinId="39" customBuiltin="1"/>
    <cellStyle name="40% - Accent3 10" xfId="488" xr:uid="{00000000-0005-0000-0000-0000B1010000}"/>
    <cellStyle name="40% - Accent3 11" xfId="489" xr:uid="{00000000-0005-0000-0000-0000B2010000}"/>
    <cellStyle name="40% - Accent3 12" xfId="490" xr:uid="{00000000-0005-0000-0000-0000B3010000}"/>
    <cellStyle name="40% - Accent3 13" xfId="491" xr:uid="{00000000-0005-0000-0000-0000B4010000}"/>
    <cellStyle name="40% - Accent3 14" xfId="492" xr:uid="{00000000-0005-0000-0000-0000B5010000}"/>
    <cellStyle name="40% - Accent3 15" xfId="493" xr:uid="{00000000-0005-0000-0000-0000B6010000}"/>
    <cellStyle name="40% - Accent3 16" xfId="494" xr:uid="{00000000-0005-0000-0000-0000B7010000}"/>
    <cellStyle name="40% - Accent3 17" xfId="495" xr:uid="{00000000-0005-0000-0000-0000B8010000}"/>
    <cellStyle name="40% - Accent3 18" xfId="496" xr:uid="{00000000-0005-0000-0000-0000B9010000}"/>
    <cellStyle name="40% - Accent3 19" xfId="497" xr:uid="{00000000-0005-0000-0000-0000BA010000}"/>
    <cellStyle name="40% - Accent3 2" xfId="498" xr:uid="{00000000-0005-0000-0000-0000BB010000}"/>
    <cellStyle name="40% - Accent3 2 10" xfId="499" xr:uid="{00000000-0005-0000-0000-0000BC010000}"/>
    <cellStyle name="40% - Accent3 2 11" xfId="500" xr:uid="{00000000-0005-0000-0000-0000BD010000}"/>
    <cellStyle name="40% - Accent3 2 12" xfId="501" xr:uid="{00000000-0005-0000-0000-0000BE010000}"/>
    <cellStyle name="40% - Accent3 2 13" xfId="502" xr:uid="{00000000-0005-0000-0000-0000BF010000}"/>
    <cellStyle name="40% - Accent3 2 14" xfId="503" xr:uid="{00000000-0005-0000-0000-0000C0010000}"/>
    <cellStyle name="40% - Accent3 2 15" xfId="504" xr:uid="{00000000-0005-0000-0000-0000C1010000}"/>
    <cellStyle name="40% - Accent3 2 16" xfId="505" xr:uid="{00000000-0005-0000-0000-0000C2010000}"/>
    <cellStyle name="40% - Accent3 2 17" xfId="506" xr:uid="{00000000-0005-0000-0000-0000C3010000}"/>
    <cellStyle name="40% - Accent3 2 18" xfId="507" xr:uid="{00000000-0005-0000-0000-0000C4010000}"/>
    <cellStyle name="40% - Accent3 2 19" xfId="508" xr:uid="{00000000-0005-0000-0000-0000C5010000}"/>
    <cellStyle name="40% - Accent3 2 2" xfId="509" xr:uid="{00000000-0005-0000-0000-0000C6010000}"/>
    <cellStyle name="40% - Accent3 2 20" xfId="510" xr:uid="{00000000-0005-0000-0000-0000C7010000}"/>
    <cellStyle name="40% - Accent3 2 21" xfId="511" xr:uid="{00000000-0005-0000-0000-0000C8010000}"/>
    <cellStyle name="40% - Accent3 2 22" xfId="512" xr:uid="{00000000-0005-0000-0000-0000C9010000}"/>
    <cellStyle name="40% - Accent3 2 23" xfId="513" xr:uid="{00000000-0005-0000-0000-0000CA010000}"/>
    <cellStyle name="40% - Accent3 2 24" xfId="514" xr:uid="{00000000-0005-0000-0000-0000CB010000}"/>
    <cellStyle name="40% - Accent3 2 25" xfId="515" xr:uid="{00000000-0005-0000-0000-0000CC010000}"/>
    <cellStyle name="40% - Accent3 2 26" xfId="516" xr:uid="{00000000-0005-0000-0000-0000CD010000}"/>
    <cellStyle name="40% - Accent3 2 27" xfId="517" xr:uid="{00000000-0005-0000-0000-0000CE010000}"/>
    <cellStyle name="40% - Accent3 2 3" xfId="518" xr:uid="{00000000-0005-0000-0000-0000CF010000}"/>
    <cellStyle name="40% - Accent3 2 4" xfId="519" xr:uid="{00000000-0005-0000-0000-0000D0010000}"/>
    <cellStyle name="40% - Accent3 2 5" xfId="520" xr:uid="{00000000-0005-0000-0000-0000D1010000}"/>
    <cellStyle name="40% - Accent3 2 6" xfId="521" xr:uid="{00000000-0005-0000-0000-0000D2010000}"/>
    <cellStyle name="40% - Accent3 2 7" xfId="522" xr:uid="{00000000-0005-0000-0000-0000D3010000}"/>
    <cellStyle name="40% - Accent3 2 8" xfId="523" xr:uid="{00000000-0005-0000-0000-0000D4010000}"/>
    <cellStyle name="40% - Accent3 2 9" xfId="524" xr:uid="{00000000-0005-0000-0000-0000D5010000}"/>
    <cellStyle name="40% - Accent3 20" xfId="525" xr:uid="{00000000-0005-0000-0000-0000D6010000}"/>
    <cellStyle name="40% - Accent3 21" xfId="526" xr:uid="{00000000-0005-0000-0000-0000D7010000}"/>
    <cellStyle name="40% - Accent3 22" xfId="527" xr:uid="{00000000-0005-0000-0000-0000D8010000}"/>
    <cellStyle name="40% - Accent3 23" xfId="528" xr:uid="{00000000-0005-0000-0000-0000D9010000}"/>
    <cellStyle name="40% - Accent3 24" xfId="529" xr:uid="{00000000-0005-0000-0000-0000DA010000}"/>
    <cellStyle name="40% - Accent3 25" xfId="530" xr:uid="{00000000-0005-0000-0000-0000DB010000}"/>
    <cellStyle name="40% - Accent3 26" xfId="531" xr:uid="{00000000-0005-0000-0000-0000DC010000}"/>
    <cellStyle name="40% - Accent3 27" xfId="532" xr:uid="{00000000-0005-0000-0000-0000DD010000}"/>
    <cellStyle name="40% - Accent3 28" xfId="533" xr:uid="{00000000-0005-0000-0000-0000DE010000}"/>
    <cellStyle name="40% - Accent3 3" xfId="534" xr:uid="{00000000-0005-0000-0000-0000DF010000}"/>
    <cellStyle name="40% - Accent3 4" xfId="535" xr:uid="{00000000-0005-0000-0000-0000E0010000}"/>
    <cellStyle name="40% - Accent3 5" xfId="536" xr:uid="{00000000-0005-0000-0000-0000E1010000}"/>
    <cellStyle name="40% - Accent3 6" xfId="537" xr:uid="{00000000-0005-0000-0000-0000E2010000}"/>
    <cellStyle name="40% - Accent3 7" xfId="538" xr:uid="{00000000-0005-0000-0000-0000E3010000}"/>
    <cellStyle name="40% - Accent3 8" xfId="539" xr:uid="{00000000-0005-0000-0000-0000E4010000}"/>
    <cellStyle name="40% - Accent3 9" xfId="540" xr:uid="{00000000-0005-0000-0000-0000E5010000}"/>
    <cellStyle name="40% - Accent4" xfId="48" builtinId="43" customBuiltin="1"/>
    <cellStyle name="40% - Accent4 10" xfId="541" xr:uid="{00000000-0005-0000-0000-0000E7010000}"/>
    <cellStyle name="40% - Accent4 11" xfId="542" xr:uid="{00000000-0005-0000-0000-0000E8010000}"/>
    <cellStyle name="40% - Accent4 12" xfId="543" xr:uid="{00000000-0005-0000-0000-0000E9010000}"/>
    <cellStyle name="40% - Accent4 13" xfId="544" xr:uid="{00000000-0005-0000-0000-0000EA010000}"/>
    <cellStyle name="40% - Accent4 14" xfId="545" xr:uid="{00000000-0005-0000-0000-0000EB010000}"/>
    <cellStyle name="40% - Accent4 15" xfId="546" xr:uid="{00000000-0005-0000-0000-0000EC010000}"/>
    <cellStyle name="40% - Accent4 16" xfId="547" xr:uid="{00000000-0005-0000-0000-0000ED010000}"/>
    <cellStyle name="40% - Accent4 17" xfId="548" xr:uid="{00000000-0005-0000-0000-0000EE010000}"/>
    <cellStyle name="40% - Accent4 18" xfId="549" xr:uid="{00000000-0005-0000-0000-0000EF010000}"/>
    <cellStyle name="40% - Accent4 19" xfId="550" xr:uid="{00000000-0005-0000-0000-0000F0010000}"/>
    <cellStyle name="40% - Accent4 2" xfId="551" xr:uid="{00000000-0005-0000-0000-0000F1010000}"/>
    <cellStyle name="40% - Accent4 2 10" xfId="552" xr:uid="{00000000-0005-0000-0000-0000F2010000}"/>
    <cellStyle name="40% - Accent4 2 11" xfId="553" xr:uid="{00000000-0005-0000-0000-0000F3010000}"/>
    <cellStyle name="40% - Accent4 2 12" xfId="554" xr:uid="{00000000-0005-0000-0000-0000F4010000}"/>
    <cellStyle name="40% - Accent4 2 13" xfId="555" xr:uid="{00000000-0005-0000-0000-0000F5010000}"/>
    <cellStyle name="40% - Accent4 2 14" xfId="556" xr:uid="{00000000-0005-0000-0000-0000F6010000}"/>
    <cellStyle name="40% - Accent4 2 15" xfId="557" xr:uid="{00000000-0005-0000-0000-0000F7010000}"/>
    <cellStyle name="40% - Accent4 2 16" xfId="558" xr:uid="{00000000-0005-0000-0000-0000F8010000}"/>
    <cellStyle name="40% - Accent4 2 17" xfId="559" xr:uid="{00000000-0005-0000-0000-0000F9010000}"/>
    <cellStyle name="40% - Accent4 2 18" xfId="560" xr:uid="{00000000-0005-0000-0000-0000FA010000}"/>
    <cellStyle name="40% - Accent4 2 19" xfId="561" xr:uid="{00000000-0005-0000-0000-0000FB010000}"/>
    <cellStyle name="40% - Accent4 2 2" xfId="562" xr:uid="{00000000-0005-0000-0000-0000FC010000}"/>
    <cellStyle name="40% - Accent4 2 20" xfId="563" xr:uid="{00000000-0005-0000-0000-0000FD010000}"/>
    <cellStyle name="40% - Accent4 2 21" xfId="564" xr:uid="{00000000-0005-0000-0000-0000FE010000}"/>
    <cellStyle name="40% - Accent4 2 22" xfId="565" xr:uid="{00000000-0005-0000-0000-0000FF010000}"/>
    <cellStyle name="40% - Accent4 2 23" xfId="566" xr:uid="{00000000-0005-0000-0000-000000020000}"/>
    <cellStyle name="40% - Accent4 2 24" xfId="567" xr:uid="{00000000-0005-0000-0000-000001020000}"/>
    <cellStyle name="40% - Accent4 2 25" xfId="568" xr:uid="{00000000-0005-0000-0000-000002020000}"/>
    <cellStyle name="40% - Accent4 2 26" xfId="569" xr:uid="{00000000-0005-0000-0000-000003020000}"/>
    <cellStyle name="40% - Accent4 2 27" xfId="570" xr:uid="{00000000-0005-0000-0000-000004020000}"/>
    <cellStyle name="40% - Accent4 2 3" xfId="571" xr:uid="{00000000-0005-0000-0000-000005020000}"/>
    <cellStyle name="40% - Accent4 2 4" xfId="572" xr:uid="{00000000-0005-0000-0000-000006020000}"/>
    <cellStyle name="40% - Accent4 2 5" xfId="573" xr:uid="{00000000-0005-0000-0000-000007020000}"/>
    <cellStyle name="40% - Accent4 2 6" xfId="574" xr:uid="{00000000-0005-0000-0000-000008020000}"/>
    <cellStyle name="40% - Accent4 2 7" xfId="575" xr:uid="{00000000-0005-0000-0000-000009020000}"/>
    <cellStyle name="40% - Accent4 2 8" xfId="576" xr:uid="{00000000-0005-0000-0000-00000A020000}"/>
    <cellStyle name="40% - Accent4 2 9" xfId="577" xr:uid="{00000000-0005-0000-0000-00000B020000}"/>
    <cellStyle name="40% - Accent4 20" xfId="578" xr:uid="{00000000-0005-0000-0000-00000C020000}"/>
    <cellStyle name="40% - Accent4 21" xfId="579" xr:uid="{00000000-0005-0000-0000-00000D020000}"/>
    <cellStyle name="40% - Accent4 22" xfId="580" xr:uid="{00000000-0005-0000-0000-00000E020000}"/>
    <cellStyle name="40% - Accent4 23" xfId="581" xr:uid="{00000000-0005-0000-0000-00000F020000}"/>
    <cellStyle name="40% - Accent4 24" xfId="582" xr:uid="{00000000-0005-0000-0000-000010020000}"/>
    <cellStyle name="40% - Accent4 25" xfId="583" xr:uid="{00000000-0005-0000-0000-000011020000}"/>
    <cellStyle name="40% - Accent4 26" xfId="584" xr:uid="{00000000-0005-0000-0000-000012020000}"/>
    <cellStyle name="40% - Accent4 27" xfId="585" xr:uid="{00000000-0005-0000-0000-000013020000}"/>
    <cellStyle name="40% - Accent4 28" xfId="586" xr:uid="{00000000-0005-0000-0000-000014020000}"/>
    <cellStyle name="40% - Accent4 3" xfId="587" xr:uid="{00000000-0005-0000-0000-000015020000}"/>
    <cellStyle name="40% - Accent4 4" xfId="588" xr:uid="{00000000-0005-0000-0000-000016020000}"/>
    <cellStyle name="40% - Accent4 5" xfId="589" xr:uid="{00000000-0005-0000-0000-000017020000}"/>
    <cellStyle name="40% - Accent4 6" xfId="590" xr:uid="{00000000-0005-0000-0000-000018020000}"/>
    <cellStyle name="40% - Accent4 7" xfId="591" xr:uid="{00000000-0005-0000-0000-000019020000}"/>
    <cellStyle name="40% - Accent4 8" xfId="592" xr:uid="{00000000-0005-0000-0000-00001A020000}"/>
    <cellStyle name="40% - Accent4 9" xfId="593" xr:uid="{00000000-0005-0000-0000-00001B020000}"/>
    <cellStyle name="40% - Accent5" xfId="52" builtinId="47" customBuiltin="1"/>
    <cellStyle name="40% - Accent5 10" xfId="594" xr:uid="{00000000-0005-0000-0000-00001D020000}"/>
    <cellStyle name="40% - Accent5 11" xfId="595" xr:uid="{00000000-0005-0000-0000-00001E020000}"/>
    <cellStyle name="40% - Accent5 12" xfId="596" xr:uid="{00000000-0005-0000-0000-00001F020000}"/>
    <cellStyle name="40% - Accent5 13" xfId="597" xr:uid="{00000000-0005-0000-0000-000020020000}"/>
    <cellStyle name="40% - Accent5 14" xfId="598" xr:uid="{00000000-0005-0000-0000-000021020000}"/>
    <cellStyle name="40% - Accent5 15" xfId="599" xr:uid="{00000000-0005-0000-0000-000022020000}"/>
    <cellStyle name="40% - Accent5 16" xfId="600" xr:uid="{00000000-0005-0000-0000-000023020000}"/>
    <cellStyle name="40% - Accent5 17" xfId="601" xr:uid="{00000000-0005-0000-0000-000024020000}"/>
    <cellStyle name="40% - Accent5 18" xfId="602" xr:uid="{00000000-0005-0000-0000-000025020000}"/>
    <cellStyle name="40% - Accent5 19" xfId="603" xr:uid="{00000000-0005-0000-0000-000026020000}"/>
    <cellStyle name="40% - Accent5 2" xfId="604" xr:uid="{00000000-0005-0000-0000-000027020000}"/>
    <cellStyle name="40% - Accent5 2 10" xfId="605" xr:uid="{00000000-0005-0000-0000-000028020000}"/>
    <cellStyle name="40% - Accent5 2 11" xfId="606" xr:uid="{00000000-0005-0000-0000-000029020000}"/>
    <cellStyle name="40% - Accent5 2 12" xfId="607" xr:uid="{00000000-0005-0000-0000-00002A020000}"/>
    <cellStyle name="40% - Accent5 2 13" xfId="608" xr:uid="{00000000-0005-0000-0000-00002B020000}"/>
    <cellStyle name="40% - Accent5 2 14" xfId="609" xr:uid="{00000000-0005-0000-0000-00002C020000}"/>
    <cellStyle name="40% - Accent5 2 15" xfId="610" xr:uid="{00000000-0005-0000-0000-00002D020000}"/>
    <cellStyle name="40% - Accent5 2 16" xfId="611" xr:uid="{00000000-0005-0000-0000-00002E020000}"/>
    <cellStyle name="40% - Accent5 2 17" xfId="612" xr:uid="{00000000-0005-0000-0000-00002F020000}"/>
    <cellStyle name="40% - Accent5 2 18" xfId="613" xr:uid="{00000000-0005-0000-0000-000030020000}"/>
    <cellStyle name="40% - Accent5 2 19" xfId="614" xr:uid="{00000000-0005-0000-0000-000031020000}"/>
    <cellStyle name="40% - Accent5 2 2" xfId="615" xr:uid="{00000000-0005-0000-0000-000032020000}"/>
    <cellStyle name="40% - Accent5 2 20" xfId="616" xr:uid="{00000000-0005-0000-0000-000033020000}"/>
    <cellStyle name="40% - Accent5 2 21" xfId="617" xr:uid="{00000000-0005-0000-0000-000034020000}"/>
    <cellStyle name="40% - Accent5 2 22" xfId="618" xr:uid="{00000000-0005-0000-0000-000035020000}"/>
    <cellStyle name="40% - Accent5 2 23" xfId="619" xr:uid="{00000000-0005-0000-0000-000036020000}"/>
    <cellStyle name="40% - Accent5 2 24" xfId="620" xr:uid="{00000000-0005-0000-0000-000037020000}"/>
    <cellStyle name="40% - Accent5 2 25" xfId="621" xr:uid="{00000000-0005-0000-0000-000038020000}"/>
    <cellStyle name="40% - Accent5 2 26" xfId="622" xr:uid="{00000000-0005-0000-0000-000039020000}"/>
    <cellStyle name="40% - Accent5 2 27" xfId="623" xr:uid="{00000000-0005-0000-0000-00003A020000}"/>
    <cellStyle name="40% - Accent5 2 3" xfId="624" xr:uid="{00000000-0005-0000-0000-00003B020000}"/>
    <cellStyle name="40% - Accent5 2 4" xfId="625" xr:uid="{00000000-0005-0000-0000-00003C020000}"/>
    <cellStyle name="40% - Accent5 2 5" xfId="626" xr:uid="{00000000-0005-0000-0000-00003D020000}"/>
    <cellStyle name="40% - Accent5 2 6" xfId="627" xr:uid="{00000000-0005-0000-0000-00003E020000}"/>
    <cellStyle name="40% - Accent5 2 7" xfId="628" xr:uid="{00000000-0005-0000-0000-00003F020000}"/>
    <cellStyle name="40% - Accent5 2 8" xfId="629" xr:uid="{00000000-0005-0000-0000-000040020000}"/>
    <cellStyle name="40% - Accent5 2 9" xfId="630" xr:uid="{00000000-0005-0000-0000-000041020000}"/>
    <cellStyle name="40% - Accent5 20" xfId="631" xr:uid="{00000000-0005-0000-0000-000042020000}"/>
    <cellStyle name="40% - Accent5 21" xfId="632" xr:uid="{00000000-0005-0000-0000-000043020000}"/>
    <cellStyle name="40% - Accent5 22" xfId="633" xr:uid="{00000000-0005-0000-0000-000044020000}"/>
    <cellStyle name="40% - Accent5 23" xfId="634" xr:uid="{00000000-0005-0000-0000-000045020000}"/>
    <cellStyle name="40% - Accent5 24" xfId="635" xr:uid="{00000000-0005-0000-0000-000046020000}"/>
    <cellStyle name="40% - Accent5 25" xfId="636" xr:uid="{00000000-0005-0000-0000-000047020000}"/>
    <cellStyle name="40% - Accent5 26" xfId="637" xr:uid="{00000000-0005-0000-0000-000048020000}"/>
    <cellStyle name="40% - Accent5 27" xfId="638" xr:uid="{00000000-0005-0000-0000-000049020000}"/>
    <cellStyle name="40% - Accent5 28" xfId="639" xr:uid="{00000000-0005-0000-0000-00004A020000}"/>
    <cellStyle name="40% - Accent5 3" xfId="640" xr:uid="{00000000-0005-0000-0000-00004B020000}"/>
    <cellStyle name="40% - Accent5 4" xfId="641" xr:uid="{00000000-0005-0000-0000-00004C020000}"/>
    <cellStyle name="40% - Accent5 5" xfId="642" xr:uid="{00000000-0005-0000-0000-00004D020000}"/>
    <cellStyle name="40% - Accent5 6" xfId="643" xr:uid="{00000000-0005-0000-0000-00004E020000}"/>
    <cellStyle name="40% - Accent5 7" xfId="644" xr:uid="{00000000-0005-0000-0000-00004F020000}"/>
    <cellStyle name="40% - Accent5 8" xfId="645" xr:uid="{00000000-0005-0000-0000-000050020000}"/>
    <cellStyle name="40% - Accent5 9" xfId="646" xr:uid="{00000000-0005-0000-0000-000051020000}"/>
    <cellStyle name="40% - Accent6" xfId="56" builtinId="51" customBuiltin="1"/>
    <cellStyle name="40% - Accent6 10" xfId="647" xr:uid="{00000000-0005-0000-0000-000053020000}"/>
    <cellStyle name="40% - Accent6 11" xfId="648" xr:uid="{00000000-0005-0000-0000-000054020000}"/>
    <cellStyle name="40% - Accent6 12" xfId="649" xr:uid="{00000000-0005-0000-0000-000055020000}"/>
    <cellStyle name="40% - Accent6 13" xfId="650" xr:uid="{00000000-0005-0000-0000-000056020000}"/>
    <cellStyle name="40% - Accent6 14" xfId="651" xr:uid="{00000000-0005-0000-0000-000057020000}"/>
    <cellStyle name="40% - Accent6 15" xfId="652" xr:uid="{00000000-0005-0000-0000-000058020000}"/>
    <cellStyle name="40% - Accent6 16" xfId="653" xr:uid="{00000000-0005-0000-0000-000059020000}"/>
    <cellStyle name="40% - Accent6 17" xfId="654" xr:uid="{00000000-0005-0000-0000-00005A020000}"/>
    <cellStyle name="40% - Accent6 18" xfId="655" xr:uid="{00000000-0005-0000-0000-00005B020000}"/>
    <cellStyle name="40% - Accent6 19" xfId="656" xr:uid="{00000000-0005-0000-0000-00005C020000}"/>
    <cellStyle name="40% - Accent6 2" xfId="657" xr:uid="{00000000-0005-0000-0000-00005D020000}"/>
    <cellStyle name="40% - Accent6 2 10" xfId="658" xr:uid="{00000000-0005-0000-0000-00005E020000}"/>
    <cellStyle name="40% - Accent6 2 11" xfId="659" xr:uid="{00000000-0005-0000-0000-00005F020000}"/>
    <cellStyle name="40% - Accent6 2 12" xfId="660" xr:uid="{00000000-0005-0000-0000-000060020000}"/>
    <cellStyle name="40% - Accent6 2 13" xfId="661" xr:uid="{00000000-0005-0000-0000-000061020000}"/>
    <cellStyle name="40% - Accent6 2 14" xfId="662" xr:uid="{00000000-0005-0000-0000-000062020000}"/>
    <cellStyle name="40% - Accent6 2 15" xfId="663" xr:uid="{00000000-0005-0000-0000-000063020000}"/>
    <cellStyle name="40% - Accent6 2 16" xfId="664" xr:uid="{00000000-0005-0000-0000-000064020000}"/>
    <cellStyle name="40% - Accent6 2 17" xfId="665" xr:uid="{00000000-0005-0000-0000-000065020000}"/>
    <cellStyle name="40% - Accent6 2 18" xfId="666" xr:uid="{00000000-0005-0000-0000-000066020000}"/>
    <cellStyle name="40% - Accent6 2 19" xfId="667" xr:uid="{00000000-0005-0000-0000-000067020000}"/>
    <cellStyle name="40% - Accent6 2 2" xfId="668" xr:uid="{00000000-0005-0000-0000-000068020000}"/>
    <cellStyle name="40% - Accent6 2 20" xfId="669" xr:uid="{00000000-0005-0000-0000-000069020000}"/>
    <cellStyle name="40% - Accent6 2 21" xfId="670" xr:uid="{00000000-0005-0000-0000-00006A020000}"/>
    <cellStyle name="40% - Accent6 2 22" xfId="671" xr:uid="{00000000-0005-0000-0000-00006B020000}"/>
    <cellStyle name="40% - Accent6 2 23" xfId="672" xr:uid="{00000000-0005-0000-0000-00006C020000}"/>
    <cellStyle name="40% - Accent6 2 24" xfId="673" xr:uid="{00000000-0005-0000-0000-00006D020000}"/>
    <cellStyle name="40% - Accent6 2 25" xfId="674" xr:uid="{00000000-0005-0000-0000-00006E020000}"/>
    <cellStyle name="40% - Accent6 2 26" xfId="675" xr:uid="{00000000-0005-0000-0000-00006F020000}"/>
    <cellStyle name="40% - Accent6 2 27" xfId="676" xr:uid="{00000000-0005-0000-0000-000070020000}"/>
    <cellStyle name="40% - Accent6 2 3" xfId="677" xr:uid="{00000000-0005-0000-0000-000071020000}"/>
    <cellStyle name="40% - Accent6 2 4" xfId="678" xr:uid="{00000000-0005-0000-0000-000072020000}"/>
    <cellStyle name="40% - Accent6 2 5" xfId="679" xr:uid="{00000000-0005-0000-0000-000073020000}"/>
    <cellStyle name="40% - Accent6 2 6" xfId="680" xr:uid="{00000000-0005-0000-0000-000074020000}"/>
    <cellStyle name="40% - Accent6 2 7" xfId="681" xr:uid="{00000000-0005-0000-0000-000075020000}"/>
    <cellStyle name="40% - Accent6 2 8" xfId="682" xr:uid="{00000000-0005-0000-0000-000076020000}"/>
    <cellStyle name="40% - Accent6 2 9" xfId="683" xr:uid="{00000000-0005-0000-0000-000077020000}"/>
    <cellStyle name="40% - Accent6 20" xfId="684" xr:uid="{00000000-0005-0000-0000-000078020000}"/>
    <cellStyle name="40% - Accent6 21" xfId="685" xr:uid="{00000000-0005-0000-0000-000079020000}"/>
    <cellStyle name="40% - Accent6 22" xfId="686" xr:uid="{00000000-0005-0000-0000-00007A020000}"/>
    <cellStyle name="40% - Accent6 23" xfId="687" xr:uid="{00000000-0005-0000-0000-00007B020000}"/>
    <cellStyle name="40% - Accent6 24" xfId="688" xr:uid="{00000000-0005-0000-0000-00007C020000}"/>
    <cellStyle name="40% - Accent6 25" xfId="689" xr:uid="{00000000-0005-0000-0000-00007D020000}"/>
    <cellStyle name="40% - Accent6 26" xfId="690" xr:uid="{00000000-0005-0000-0000-00007E020000}"/>
    <cellStyle name="40% - Accent6 27" xfId="691" xr:uid="{00000000-0005-0000-0000-00007F020000}"/>
    <cellStyle name="40% - Accent6 28" xfId="692" xr:uid="{00000000-0005-0000-0000-000080020000}"/>
    <cellStyle name="40% - Accent6 3" xfId="693" xr:uid="{00000000-0005-0000-0000-000081020000}"/>
    <cellStyle name="40% - Accent6 4" xfId="694" xr:uid="{00000000-0005-0000-0000-000082020000}"/>
    <cellStyle name="40% - Accent6 5" xfId="695" xr:uid="{00000000-0005-0000-0000-000083020000}"/>
    <cellStyle name="40% - Accent6 6" xfId="696" xr:uid="{00000000-0005-0000-0000-000084020000}"/>
    <cellStyle name="40% - Accent6 7" xfId="697" xr:uid="{00000000-0005-0000-0000-000085020000}"/>
    <cellStyle name="40% - Accent6 8" xfId="698" xr:uid="{00000000-0005-0000-0000-000086020000}"/>
    <cellStyle name="40% - Accent6 9" xfId="699" xr:uid="{00000000-0005-0000-0000-000087020000}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" xfId="1" builtinId="3"/>
    <cellStyle name="Comma 2" xfId="61" xr:uid="{00000000-0005-0000-0000-000098020000}"/>
    <cellStyle name="Currency" xfId="2" builtinId="4"/>
    <cellStyle name="Currency 2" xfId="60" xr:uid="{00000000-0005-0000-0000-00009A020000}"/>
    <cellStyle name="Explanatory Text" xfId="32" builtinId="53" customBuilti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10" xfId="62" xr:uid="{00000000-0005-0000-0000-0000B1020000}"/>
    <cellStyle name="Normal 2" xfId="700" xr:uid="{00000000-0005-0000-0000-0000B2020000}"/>
    <cellStyle name="Normal 2 10" xfId="701" xr:uid="{00000000-0005-0000-0000-0000B3020000}"/>
    <cellStyle name="Normal 2 11" xfId="702" xr:uid="{00000000-0005-0000-0000-0000B4020000}"/>
    <cellStyle name="Normal 2 12" xfId="703" xr:uid="{00000000-0005-0000-0000-0000B5020000}"/>
    <cellStyle name="Normal 2 13" xfId="704" xr:uid="{00000000-0005-0000-0000-0000B6020000}"/>
    <cellStyle name="Normal 2 14" xfId="705" xr:uid="{00000000-0005-0000-0000-0000B7020000}"/>
    <cellStyle name="Normal 2 15" xfId="706" xr:uid="{00000000-0005-0000-0000-0000B8020000}"/>
    <cellStyle name="Normal 2 16" xfId="707" xr:uid="{00000000-0005-0000-0000-0000B9020000}"/>
    <cellStyle name="Normal 2 17" xfId="708" xr:uid="{00000000-0005-0000-0000-0000BA020000}"/>
    <cellStyle name="Normal 2 18" xfId="709" xr:uid="{00000000-0005-0000-0000-0000BB020000}"/>
    <cellStyle name="Normal 2 19" xfId="710" xr:uid="{00000000-0005-0000-0000-0000BC020000}"/>
    <cellStyle name="Normal 2 2" xfId="711" xr:uid="{00000000-0005-0000-0000-0000BD020000}"/>
    <cellStyle name="Normal 2 2 10" xfId="712" xr:uid="{00000000-0005-0000-0000-0000BE020000}"/>
    <cellStyle name="Normal 2 2 11" xfId="713" xr:uid="{00000000-0005-0000-0000-0000BF020000}"/>
    <cellStyle name="Normal 2 2 12" xfId="714" xr:uid="{00000000-0005-0000-0000-0000C0020000}"/>
    <cellStyle name="Normal 2 2 13" xfId="715" xr:uid="{00000000-0005-0000-0000-0000C1020000}"/>
    <cellStyle name="Normal 2 2 14" xfId="716" xr:uid="{00000000-0005-0000-0000-0000C2020000}"/>
    <cellStyle name="Normal 2 2 15" xfId="717" xr:uid="{00000000-0005-0000-0000-0000C3020000}"/>
    <cellStyle name="Normal 2 2 16" xfId="718" xr:uid="{00000000-0005-0000-0000-0000C4020000}"/>
    <cellStyle name="Normal 2 2 17" xfId="719" xr:uid="{00000000-0005-0000-0000-0000C5020000}"/>
    <cellStyle name="Normal 2 2 18" xfId="720" xr:uid="{00000000-0005-0000-0000-0000C6020000}"/>
    <cellStyle name="Normal 2 2 19" xfId="721" xr:uid="{00000000-0005-0000-0000-0000C7020000}"/>
    <cellStyle name="Normal 2 2 2" xfId="722" xr:uid="{00000000-0005-0000-0000-0000C8020000}"/>
    <cellStyle name="Normal 2 2 20" xfId="723" xr:uid="{00000000-0005-0000-0000-0000C9020000}"/>
    <cellStyle name="Normal 2 2 21" xfId="724" xr:uid="{00000000-0005-0000-0000-0000CA020000}"/>
    <cellStyle name="Normal 2 2 22" xfId="725" xr:uid="{00000000-0005-0000-0000-0000CB020000}"/>
    <cellStyle name="Normal 2 2 23" xfId="726" xr:uid="{00000000-0005-0000-0000-0000CC020000}"/>
    <cellStyle name="Normal 2 2 24" xfId="727" xr:uid="{00000000-0005-0000-0000-0000CD020000}"/>
    <cellStyle name="Normal 2 2 25" xfId="728" xr:uid="{00000000-0005-0000-0000-0000CE020000}"/>
    <cellStyle name="Normal 2 2 26" xfId="729" xr:uid="{00000000-0005-0000-0000-0000CF020000}"/>
    <cellStyle name="Normal 2 2 27" xfId="730" xr:uid="{00000000-0005-0000-0000-0000D0020000}"/>
    <cellStyle name="Normal 2 2 3" xfId="731" xr:uid="{00000000-0005-0000-0000-0000D1020000}"/>
    <cellStyle name="Normal 2 2 4" xfId="732" xr:uid="{00000000-0005-0000-0000-0000D2020000}"/>
    <cellStyle name="Normal 2 2 5" xfId="733" xr:uid="{00000000-0005-0000-0000-0000D3020000}"/>
    <cellStyle name="Normal 2 2 6" xfId="734" xr:uid="{00000000-0005-0000-0000-0000D4020000}"/>
    <cellStyle name="Normal 2 2 7" xfId="735" xr:uid="{00000000-0005-0000-0000-0000D5020000}"/>
    <cellStyle name="Normal 2 2 8" xfId="736" xr:uid="{00000000-0005-0000-0000-0000D6020000}"/>
    <cellStyle name="Normal 2 2 9" xfId="737" xr:uid="{00000000-0005-0000-0000-0000D7020000}"/>
    <cellStyle name="Normal 2 20" xfId="738" xr:uid="{00000000-0005-0000-0000-0000D8020000}"/>
    <cellStyle name="Normal 2 21" xfId="739" xr:uid="{00000000-0005-0000-0000-0000D9020000}"/>
    <cellStyle name="Normal 2 22" xfId="740" xr:uid="{00000000-0005-0000-0000-0000DA020000}"/>
    <cellStyle name="Normal 2 23" xfId="741" xr:uid="{00000000-0005-0000-0000-0000DB020000}"/>
    <cellStyle name="Normal 2 24" xfId="742" xr:uid="{00000000-0005-0000-0000-0000DC020000}"/>
    <cellStyle name="Normal 2 25" xfId="743" xr:uid="{00000000-0005-0000-0000-0000DD020000}"/>
    <cellStyle name="Normal 2 26" xfId="744" xr:uid="{00000000-0005-0000-0000-0000DE020000}"/>
    <cellStyle name="Normal 2 27" xfId="745" xr:uid="{00000000-0005-0000-0000-0000DF020000}"/>
    <cellStyle name="Normal 2 28" xfId="746" xr:uid="{00000000-0005-0000-0000-0000E0020000}"/>
    <cellStyle name="Normal 2 29" xfId="747" xr:uid="{00000000-0005-0000-0000-0000E1020000}"/>
    <cellStyle name="Normal 2 3" xfId="748" xr:uid="{00000000-0005-0000-0000-0000E2020000}"/>
    <cellStyle name="Normal 2 4" xfId="749" xr:uid="{00000000-0005-0000-0000-0000E3020000}"/>
    <cellStyle name="Normal 2 5" xfId="750" xr:uid="{00000000-0005-0000-0000-0000E4020000}"/>
    <cellStyle name="Normal 2 6" xfId="751" xr:uid="{00000000-0005-0000-0000-0000E5020000}"/>
    <cellStyle name="Normal 2 7" xfId="752" xr:uid="{00000000-0005-0000-0000-0000E6020000}"/>
    <cellStyle name="Normal 2 8" xfId="753" xr:uid="{00000000-0005-0000-0000-0000E7020000}"/>
    <cellStyle name="Normal 2 9" xfId="754" xr:uid="{00000000-0005-0000-0000-0000E8020000}"/>
    <cellStyle name="Normal 3" xfId="755" xr:uid="{00000000-0005-0000-0000-0000E9020000}"/>
    <cellStyle name="Normal 3 10" xfId="756" xr:uid="{00000000-0005-0000-0000-0000EA020000}"/>
    <cellStyle name="Normal 3 11" xfId="757" xr:uid="{00000000-0005-0000-0000-0000EB020000}"/>
    <cellStyle name="Normal 3 12" xfId="758" xr:uid="{00000000-0005-0000-0000-0000EC020000}"/>
    <cellStyle name="Normal 3 13" xfId="759" xr:uid="{00000000-0005-0000-0000-0000ED020000}"/>
    <cellStyle name="Normal 3 14" xfId="760" xr:uid="{00000000-0005-0000-0000-0000EE020000}"/>
    <cellStyle name="Normal 3 15" xfId="761" xr:uid="{00000000-0005-0000-0000-0000EF020000}"/>
    <cellStyle name="Normal 3 16" xfId="762" xr:uid="{00000000-0005-0000-0000-0000F0020000}"/>
    <cellStyle name="Normal 3 17" xfId="763" xr:uid="{00000000-0005-0000-0000-0000F1020000}"/>
    <cellStyle name="Normal 3 18" xfId="764" xr:uid="{00000000-0005-0000-0000-0000F2020000}"/>
    <cellStyle name="Normal 3 19" xfId="765" xr:uid="{00000000-0005-0000-0000-0000F3020000}"/>
    <cellStyle name="Normal 3 2" xfId="766" xr:uid="{00000000-0005-0000-0000-0000F4020000}"/>
    <cellStyle name="Normal 3 20" xfId="767" xr:uid="{00000000-0005-0000-0000-0000F5020000}"/>
    <cellStyle name="Normal 3 21" xfId="768" xr:uid="{00000000-0005-0000-0000-0000F6020000}"/>
    <cellStyle name="Normal 3 22" xfId="769" xr:uid="{00000000-0005-0000-0000-0000F7020000}"/>
    <cellStyle name="Normal 3 23" xfId="770" xr:uid="{00000000-0005-0000-0000-0000F8020000}"/>
    <cellStyle name="Normal 3 24" xfId="771" xr:uid="{00000000-0005-0000-0000-0000F9020000}"/>
    <cellStyle name="Normal 3 25" xfId="772" xr:uid="{00000000-0005-0000-0000-0000FA020000}"/>
    <cellStyle name="Normal 3 26" xfId="773" xr:uid="{00000000-0005-0000-0000-0000FB020000}"/>
    <cellStyle name="Normal 3 27" xfId="774" xr:uid="{00000000-0005-0000-0000-0000FC020000}"/>
    <cellStyle name="Normal 3 28" xfId="775" xr:uid="{00000000-0005-0000-0000-0000FD020000}"/>
    <cellStyle name="Normal 3 3" xfId="776" xr:uid="{00000000-0005-0000-0000-0000FE020000}"/>
    <cellStyle name="Normal 3 4" xfId="777" xr:uid="{00000000-0005-0000-0000-0000FF020000}"/>
    <cellStyle name="Normal 3 5" xfId="778" xr:uid="{00000000-0005-0000-0000-000000030000}"/>
    <cellStyle name="Normal 3 6" xfId="779" xr:uid="{00000000-0005-0000-0000-000001030000}"/>
    <cellStyle name="Normal 3 7" xfId="780" xr:uid="{00000000-0005-0000-0000-000002030000}"/>
    <cellStyle name="Normal 3 8" xfId="781" xr:uid="{00000000-0005-0000-0000-000003030000}"/>
    <cellStyle name="Normal 3 9" xfId="782" xr:uid="{00000000-0005-0000-0000-000004030000}"/>
    <cellStyle name="Normal 4" xfId="783" xr:uid="{00000000-0005-0000-0000-000005030000}"/>
    <cellStyle name="Normal 4 10" xfId="784" xr:uid="{00000000-0005-0000-0000-000006030000}"/>
    <cellStyle name="Normal 4 11" xfId="785" xr:uid="{00000000-0005-0000-0000-000007030000}"/>
    <cellStyle name="Normal 4 12" xfId="786" xr:uid="{00000000-0005-0000-0000-000008030000}"/>
    <cellStyle name="Normal 4 13" xfId="787" xr:uid="{00000000-0005-0000-0000-000009030000}"/>
    <cellStyle name="Normal 4 14" xfId="788" xr:uid="{00000000-0005-0000-0000-00000A030000}"/>
    <cellStyle name="Normal 4 15" xfId="789" xr:uid="{00000000-0005-0000-0000-00000B030000}"/>
    <cellStyle name="Normal 4 16" xfId="790" xr:uid="{00000000-0005-0000-0000-00000C030000}"/>
    <cellStyle name="Normal 4 17" xfId="791" xr:uid="{00000000-0005-0000-0000-00000D030000}"/>
    <cellStyle name="Normal 4 18" xfId="792" xr:uid="{00000000-0005-0000-0000-00000E030000}"/>
    <cellStyle name="Normal 4 19" xfId="793" xr:uid="{00000000-0005-0000-0000-00000F030000}"/>
    <cellStyle name="Normal 4 2" xfId="794" xr:uid="{00000000-0005-0000-0000-000010030000}"/>
    <cellStyle name="Normal 4 20" xfId="795" xr:uid="{00000000-0005-0000-0000-000011030000}"/>
    <cellStyle name="Normal 4 21" xfId="796" xr:uid="{00000000-0005-0000-0000-000012030000}"/>
    <cellStyle name="Normal 4 22" xfId="797" xr:uid="{00000000-0005-0000-0000-000013030000}"/>
    <cellStyle name="Normal 4 23" xfId="798" xr:uid="{00000000-0005-0000-0000-000014030000}"/>
    <cellStyle name="Normal 4 24" xfId="799" xr:uid="{00000000-0005-0000-0000-000015030000}"/>
    <cellStyle name="Normal 4 25" xfId="800" xr:uid="{00000000-0005-0000-0000-000016030000}"/>
    <cellStyle name="Normal 4 26" xfId="801" xr:uid="{00000000-0005-0000-0000-000017030000}"/>
    <cellStyle name="Normal 4 27" xfId="802" xr:uid="{00000000-0005-0000-0000-000018030000}"/>
    <cellStyle name="Normal 4 28" xfId="803" xr:uid="{00000000-0005-0000-0000-000019030000}"/>
    <cellStyle name="Normal 4 3" xfId="804" xr:uid="{00000000-0005-0000-0000-00001A030000}"/>
    <cellStyle name="Normal 4 4" xfId="805" xr:uid="{00000000-0005-0000-0000-00001B030000}"/>
    <cellStyle name="Normal 4 5" xfId="806" xr:uid="{00000000-0005-0000-0000-00001C030000}"/>
    <cellStyle name="Normal 4 6" xfId="807" xr:uid="{00000000-0005-0000-0000-00001D030000}"/>
    <cellStyle name="Normal 4 7" xfId="808" xr:uid="{00000000-0005-0000-0000-00001E030000}"/>
    <cellStyle name="Normal 4 8" xfId="809" xr:uid="{00000000-0005-0000-0000-00001F030000}"/>
    <cellStyle name="Normal 4 9" xfId="810" xr:uid="{00000000-0005-0000-0000-000020030000}"/>
    <cellStyle name="Normal 5" xfId="811" xr:uid="{00000000-0005-0000-0000-000021030000}"/>
    <cellStyle name="Normal 5 10" xfId="812" xr:uid="{00000000-0005-0000-0000-000022030000}"/>
    <cellStyle name="Normal 5 11" xfId="813" xr:uid="{00000000-0005-0000-0000-000023030000}"/>
    <cellStyle name="Normal 5 12" xfId="814" xr:uid="{00000000-0005-0000-0000-000024030000}"/>
    <cellStyle name="Normal 5 13" xfId="815" xr:uid="{00000000-0005-0000-0000-000025030000}"/>
    <cellStyle name="Normal 5 14" xfId="816" xr:uid="{00000000-0005-0000-0000-000026030000}"/>
    <cellStyle name="Normal 5 15" xfId="817" xr:uid="{00000000-0005-0000-0000-000027030000}"/>
    <cellStyle name="Normal 5 16" xfId="818" xr:uid="{00000000-0005-0000-0000-000028030000}"/>
    <cellStyle name="Normal 5 17" xfId="819" xr:uid="{00000000-0005-0000-0000-000029030000}"/>
    <cellStyle name="Normal 5 18" xfId="820" xr:uid="{00000000-0005-0000-0000-00002A030000}"/>
    <cellStyle name="Normal 5 19" xfId="821" xr:uid="{00000000-0005-0000-0000-00002B030000}"/>
    <cellStyle name="Normal 5 2" xfId="822" xr:uid="{00000000-0005-0000-0000-00002C030000}"/>
    <cellStyle name="Normal 5 20" xfId="823" xr:uid="{00000000-0005-0000-0000-00002D030000}"/>
    <cellStyle name="Normal 5 21" xfId="824" xr:uid="{00000000-0005-0000-0000-00002E030000}"/>
    <cellStyle name="Normal 5 22" xfId="825" xr:uid="{00000000-0005-0000-0000-00002F030000}"/>
    <cellStyle name="Normal 5 23" xfId="826" xr:uid="{00000000-0005-0000-0000-000030030000}"/>
    <cellStyle name="Normal 5 24" xfId="827" xr:uid="{00000000-0005-0000-0000-000031030000}"/>
    <cellStyle name="Normal 5 25" xfId="828" xr:uid="{00000000-0005-0000-0000-000032030000}"/>
    <cellStyle name="Normal 5 26" xfId="829" xr:uid="{00000000-0005-0000-0000-000033030000}"/>
    <cellStyle name="Normal 5 27" xfId="830" xr:uid="{00000000-0005-0000-0000-000034030000}"/>
    <cellStyle name="Normal 5 3" xfId="831" xr:uid="{00000000-0005-0000-0000-000035030000}"/>
    <cellStyle name="Normal 5 4" xfId="832" xr:uid="{00000000-0005-0000-0000-000036030000}"/>
    <cellStyle name="Normal 5 5" xfId="833" xr:uid="{00000000-0005-0000-0000-000037030000}"/>
    <cellStyle name="Normal 5 6" xfId="834" xr:uid="{00000000-0005-0000-0000-000038030000}"/>
    <cellStyle name="Normal 5 7" xfId="835" xr:uid="{00000000-0005-0000-0000-000039030000}"/>
    <cellStyle name="Normal 5 8" xfId="836" xr:uid="{00000000-0005-0000-0000-00003A030000}"/>
    <cellStyle name="Normal 5 9" xfId="837" xr:uid="{00000000-0005-0000-0000-00003B030000}"/>
    <cellStyle name="Normal 6" xfId="838" xr:uid="{00000000-0005-0000-0000-00003C030000}"/>
    <cellStyle name="Normal 6 10" xfId="839" xr:uid="{00000000-0005-0000-0000-00003D030000}"/>
    <cellStyle name="Normal 6 11" xfId="840" xr:uid="{00000000-0005-0000-0000-00003E030000}"/>
    <cellStyle name="Normal 6 12" xfId="841" xr:uid="{00000000-0005-0000-0000-00003F030000}"/>
    <cellStyle name="Normal 6 13" xfId="842" xr:uid="{00000000-0005-0000-0000-000040030000}"/>
    <cellStyle name="Normal 6 14" xfId="843" xr:uid="{00000000-0005-0000-0000-000041030000}"/>
    <cellStyle name="Normal 6 15" xfId="844" xr:uid="{00000000-0005-0000-0000-000042030000}"/>
    <cellStyle name="Normal 6 16" xfId="845" xr:uid="{00000000-0005-0000-0000-000043030000}"/>
    <cellStyle name="Normal 6 17" xfId="846" xr:uid="{00000000-0005-0000-0000-000044030000}"/>
    <cellStyle name="Normal 6 18" xfId="847" xr:uid="{00000000-0005-0000-0000-000045030000}"/>
    <cellStyle name="Normal 6 19" xfId="848" xr:uid="{00000000-0005-0000-0000-000046030000}"/>
    <cellStyle name="Normal 6 2" xfId="849" xr:uid="{00000000-0005-0000-0000-000047030000}"/>
    <cellStyle name="Normal 6 20" xfId="850" xr:uid="{00000000-0005-0000-0000-000048030000}"/>
    <cellStyle name="Normal 6 21" xfId="851" xr:uid="{00000000-0005-0000-0000-000049030000}"/>
    <cellStyle name="Normal 6 22" xfId="852" xr:uid="{00000000-0005-0000-0000-00004A030000}"/>
    <cellStyle name="Normal 6 23" xfId="853" xr:uid="{00000000-0005-0000-0000-00004B030000}"/>
    <cellStyle name="Normal 6 24" xfId="854" xr:uid="{00000000-0005-0000-0000-00004C030000}"/>
    <cellStyle name="Normal 6 25" xfId="855" xr:uid="{00000000-0005-0000-0000-00004D030000}"/>
    <cellStyle name="Normal 6 26" xfId="856" xr:uid="{00000000-0005-0000-0000-00004E030000}"/>
    <cellStyle name="Normal 6 27" xfId="857" xr:uid="{00000000-0005-0000-0000-00004F030000}"/>
    <cellStyle name="Normal 6 28" xfId="858" xr:uid="{00000000-0005-0000-0000-000050030000}"/>
    <cellStyle name="Normal 6 3" xfId="859" xr:uid="{00000000-0005-0000-0000-000051030000}"/>
    <cellStyle name="Normal 6 4" xfId="860" xr:uid="{00000000-0005-0000-0000-000052030000}"/>
    <cellStyle name="Normal 6 5" xfId="861" xr:uid="{00000000-0005-0000-0000-000053030000}"/>
    <cellStyle name="Normal 6 6" xfId="862" xr:uid="{00000000-0005-0000-0000-000054030000}"/>
    <cellStyle name="Normal 6 7" xfId="863" xr:uid="{00000000-0005-0000-0000-000055030000}"/>
    <cellStyle name="Normal 6 8" xfId="864" xr:uid="{00000000-0005-0000-0000-000056030000}"/>
    <cellStyle name="Normal 6 9" xfId="865" xr:uid="{00000000-0005-0000-0000-000057030000}"/>
    <cellStyle name="Normal 7" xfId="866" xr:uid="{00000000-0005-0000-0000-000058030000}"/>
    <cellStyle name="Normal 7 10" xfId="867" xr:uid="{00000000-0005-0000-0000-000059030000}"/>
    <cellStyle name="Normal 7 11" xfId="868" xr:uid="{00000000-0005-0000-0000-00005A030000}"/>
    <cellStyle name="Normal 7 12" xfId="869" xr:uid="{00000000-0005-0000-0000-00005B030000}"/>
    <cellStyle name="Normal 7 13" xfId="870" xr:uid="{00000000-0005-0000-0000-00005C030000}"/>
    <cellStyle name="Normal 7 14" xfId="871" xr:uid="{00000000-0005-0000-0000-00005D030000}"/>
    <cellStyle name="Normal 7 15" xfId="872" xr:uid="{00000000-0005-0000-0000-00005E030000}"/>
    <cellStyle name="Normal 7 16" xfId="873" xr:uid="{00000000-0005-0000-0000-00005F030000}"/>
    <cellStyle name="Normal 7 17" xfId="874" xr:uid="{00000000-0005-0000-0000-000060030000}"/>
    <cellStyle name="Normal 7 18" xfId="875" xr:uid="{00000000-0005-0000-0000-000061030000}"/>
    <cellStyle name="Normal 7 19" xfId="876" xr:uid="{00000000-0005-0000-0000-000062030000}"/>
    <cellStyle name="Normal 7 2" xfId="877" xr:uid="{00000000-0005-0000-0000-000063030000}"/>
    <cellStyle name="Normal 7 20" xfId="878" xr:uid="{00000000-0005-0000-0000-000064030000}"/>
    <cellStyle name="Normal 7 21" xfId="879" xr:uid="{00000000-0005-0000-0000-000065030000}"/>
    <cellStyle name="Normal 7 22" xfId="880" xr:uid="{00000000-0005-0000-0000-000066030000}"/>
    <cellStyle name="Normal 7 23" xfId="881" xr:uid="{00000000-0005-0000-0000-000067030000}"/>
    <cellStyle name="Normal 7 24" xfId="882" xr:uid="{00000000-0005-0000-0000-000068030000}"/>
    <cellStyle name="Normal 7 25" xfId="883" xr:uid="{00000000-0005-0000-0000-000069030000}"/>
    <cellStyle name="Normal 7 26" xfId="884" xr:uid="{00000000-0005-0000-0000-00006A030000}"/>
    <cellStyle name="Normal 7 27" xfId="885" xr:uid="{00000000-0005-0000-0000-00006B030000}"/>
    <cellStyle name="Normal 7 28" xfId="886" xr:uid="{00000000-0005-0000-0000-00006C030000}"/>
    <cellStyle name="Normal 7 3" xfId="887" xr:uid="{00000000-0005-0000-0000-00006D030000}"/>
    <cellStyle name="Normal 7 4" xfId="888" xr:uid="{00000000-0005-0000-0000-00006E030000}"/>
    <cellStyle name="Normal 7 5" xfId="889" xr:uid="{00000000-0005-0000-0000-00006F030000}"/>
    <cellStyle name="Normal 7 6" xfId="890" xr:uid="{00000000-0005-0000-0000-000070030000}"/>
    <cellStyle name="Normal 7 7" xfId="891" xr:uid="{00000000-0005-0000-0000-000071030000}"/>
    <cellStyle name="Normal 7 8" xfId="892" xr:uid="{00000000-0005-0000-0000-000072030000}"/>
    <cellStyle name="Normal 7 9" xfId="893" xr:uid="{00000000-0005-0000-0000-000073030000}"/>
    <cellStyle name="Normal 8" xfId="894" xr:uid="{00000000-0005-0000-0000-000074030000}"/>
    <cellStyle name="Normal 8 10" xfId="895" xr:uid="{00000000-0005-0000-0000-000075030000}"/>
    <cellStyle name="Normal 8 11" xfId="896" xr:uid="{00000000-0005-0000-0000-000076030000}"/>
    <cellStyle name="Normal 8 12" xfId="897" xr:uid="{00000000-0005-0000-0000-000077030000}"/>
    <cellStyle name="Normal 8 13" xfId="898" xr:uid="{00000000-0005-0000-0000-000078030000}"/>
    <cellStyle name="Normal 8 14" xfId="899" xr:uid="{00000000-0005-0000-0000-000079030000}"/>
    <cellStyle name="Normal 8 15" xfId="900" xr:uid="{00000000-0005-0000-0000-00007A030000}"/>
    <cellStyle name="Normal 8 16" xfId="901" xr:uid="{00000000-0005-0000-0000-00007B030000}"/>
    <cellStyle name="Normal 8 17" xfId="902" xr:uid="{00000000-0005-0000-0000-00007C030000}"/>
    <cellStyle name="Normal 8 18" xfId="903" xr:uid="{00000000-0005-0000-0000-00007D030000}"/>
    <cellStyle name="Normal 8 19" xfId="904" xr:uid="{00000000-0005-0000-0000-00007E030000}"/>
    <cellStyle name="Normal 8 2" xfId="905" xr:uid="{00000000-0005-0000-0000-00007F030000}"/>
    <cellStyle name="Normal 8 20" xfId="906" xr:uid="{00000000-0005-0000-0000-000080030000}"/>
    <cellStyle name="Normal 8 21" xfId="907" xr:uid="{00000000-0005-0000-0000-000081030000}"/>
    <cellStyle name="Normal 8 22" xfId="908" xr:uid="{00000000-0005-0000-0000-000082030000}"/>
    <cellStyle name="Normal 8 23" xfId="909" xr:uid="{00000000-0005-0000-0000-000083030000}"/>
    <cellStyle name="Normal 8 24" xfId="910" xr:uid="{00000000-0005-0000-0000-000084030000}"/>
    <cellStyle name="Normal 8 25" xfId="911" xr:uid="{00000000-0005-0000-0000-000085030000}"/>
    <cellStyle name="Normal 8 26" xfId="912" xr:uid="{00000000-0005-0000-0000-000086030000}"/>
    <cellStyle name="Normal 8 27" xfId="913" xr:uid="{00000000-0005-0000-0000-000087030000}"/>
    <cellStyle name="Normal 8 3" xfId="914" xr:uid="{00000000-0005-0000-0000-000088030000}"/>
    <cellStyle name="Normal 8 4" xfId="915" xr:uid="{00000000-0005-0000-0000-000089030000}"/>
    <cellStyle name="Normal 8 5" xfId="916" xr:uid="{00000000-0005-0000-0000-00008A030000}"/>
    <cellStyle name="Normal 8 6" xfId="917" xr:uid="{00000000-0005-0000-0000-00008B030000}"/>
    <cellStyle name="Normal 8 7" xfId="918" xr:uid="{00000000-0005-0000-0000-00008C030000}"/>
    <cellStyle name="Normal 8 8" xfId="919" xr:uid="{00000000-0005-0000-0000-00008D030000}"/>
    <cellStyle name="Normal 8 9" xfId="920" xr:uid="{00000000-0005-0000-0000-00008E030000}"/>
    <cellStyle name="Normal 9" xfId="921" xr:uid="{00000000-0005-0000-0000-00008F030000}"/>
    <cellStyle name="Normal_4 12 02 Mtg 2002 Revised 2003 Prelim Budget" xfId="3" xr:uid="{00000000-0005-0000-0000-000090030000}"/>
    <cellStyle name="Normal_MORE 2007 Cost Allocations based on 7 7 06 Prelim Budget" xfId="4" xr:uid="{00000000-0005-0000-0000-000091030000}"/>
    <cellStyle name="Normal_MORE 2007 Cost Allocations based on 7 7 06 Prelim Budget 2" xfId="58" xr:uid="{00000000-0005-0000-0000-000092030000}"/>
    <cellStyle name="Note 2" xfId="922" xr:uid="{00000000-0005-0000-0000-000093030000}"/>
    <cellStyle name="Note 2 10" xfId="923" xr:uid="{00000000-0005-0000-0000-000094030000}"/>
    <cellStyle name="Note 2 11" xfId="924" xr:uid="{00000000-0005-0000-0000-000095030000}"/>
    <cellStyle name="Note 2 12" xfId="925" xr:uid="{00000000-0005-0000-0000-000096030000}"/>
    <cellStyle name="Note 2 13" xfId="926" xr:uid="{00000000-0005-0000-0000-000097030000}"/>
    <cellStyle name="Note 2 14" xfId="927" xr:uid="{00000000-0005-0000-0000-000098030000}"/>
    <cellStyle name="Note 2 15" xfId="928" xr:uid="{00000000-0005-0000-0000-000099030000}"/>
    <cellStyle name="Note 2 16" xfId="929" xr:uid="{00000000-0005-0000-0000-00009A030000}"/>
    <cellStyle name="Note 2 17" xfId="930" xr:uid="{00000000-0005-0000-0000-00009B030000}"/>
    <cellStyle name="Note 2 18" xfId="931" xr:uid="{00000000-0005-0000-0000-00009C030000}"/>
    <cellStyle name="Note 2 19" xfId="932" xr:uid="{00000000-0005-0000-0000-00009D030000}"/>
    <cellStyle name="Note 2 2" xfId="933" xr:uid="{00000000-0005-0000-0000-00009E030000}"/>
    <cellStyle name="Note 2 20" xfId="934" xr:uid="{00000000-0005-0000-0000-00009F030000}"/>
    <cellStyle name="Note 2 21" xfId="935" xr:uid="{00000000-0005-0000-0000-0000A0030000}"/>
    <cellStyle name="Note 2 22" xfId="936" xr:uid="{00000000-0005-0000-0000-0000A1030000}"/>
    <cellStyle name="Note 2 23" xfId="937" xr:uid="{00000000-0005-0000-0000-0000A2030000}"/>
    <cellStyle name="Note 2 24" xfId="938" xr:uid="{00000000-0005-0000-0000-0000A3030000}"/>
    <cellStyle name="Note 2 25" xfId="939" xr:uid="{00000000-0005-0000-0000-0000A4030000}"/>
    <cellStyle name="Note 2 26" xfId="940" xr:uid="{00000000-0005-0000-0000-0000A5030000}"/>
    <cellStyle name="Note 2 27" xfId="941" xr:uid="{00000000-0005-0000-0000-0000A6030000}"/>
    <cellStyle name="Note 2 3" xfId="942" xr:uid="{00000000-0005-0000-0000-0000A7030000}"/>
    <cellStyle name="Note 2 4" xfId="943" xr:uid="{00000000-0005-0000-0000-0000A8030000}"/>
    <cellStyle name="Note 2 5" xfId="944" xr:uid="{00000000-0005-0000-0000-0000A9030000}"/>
    <cellStyle name="Note 2 6" xfId="945" xr:uid="{00000000-0005-0000-0000-0000AA030000}"/>
    <cellStyle name="Note 2 7" xfId="946" xr:uid="{00000000-0005-0000-0000-0000AB030000}"/>
    <cellStyle name="Note 2 8" xfId="947" xr:uid="{00000000-0005-0000-0000-0000AC030000}"/>
    <cellStyle name="Note 2 9" xfId="948" xr:uid="{00000000-0005-0000-0000-0000AD030000}"/>
    <cellStyle name="Note 3" xfId="949" xr:uid="{00000000-0005-0000-0000-0000AE030000}"/>
    <cellStyle name="Note 3 10" xfId="950" xr:uid="{00000000-0005-0000-0000-0000AF030000}"/>
    <cellStyle name="Note 3 11" xfId="951" xr:uid="{00000000-0005-0000-0000-0000B0030000}"/>
    <cellStyle name="Note 3 12" xfId="952" xr:uid="{00000000-0005-0000-0000-0000B1030000}"/>
    <cellStyle name="Note 3 13" xfId="953" xr:uid="{00000000-0005-0000-0000-0000B2030000}"/>
    <cellStyle name="Note 3 14" xfId="954" xr:uid="{00000000-0005-0000-0000-0000B3030000}"/>
    <cellStyle name="Note 3 15" xfId="955" xr:uid="{00000000-0005-0000-0000-0000B4030000}"/>
    <cellStyle name="Note 3 16" xfId="956" xr:uid="{00000000-0005-0000-0000-0000B5030000}"/>
    <cellStyle name="Note 3 17" xfId="957" xr:uid="{00000000-0005-0000-0000-0000B6030000}"/>
    <cellStyle name="Note 3 18" xfId="958" xr:uid="{00000000-0005-0000-0000-0000B7030000}"/>
    <cellStyle name="Note 3 19" xfId="959" xr:uid="{00000000-0005-0000-0000-0000B8030000}"/>
    <cellStyle name="Note 3 2" xfId="960" xr:uid="{00000000-0005-0000-0000-0000B9030000}"/>
    <cellStyle name="Note 3 20" xfId="961" xr:uid="{00000000-0005-0000-0000-0000BA030000}"/>
    <cellStyle name="Note 3 21" xfId="962" xr:uid="{00000000-0005-0000-0000-0000BB030000}"/>
    <cellStyle name="Note 3 22" xfId="963" xr:uid="{00000000-0005-0000-0000-0000BC030000}"/>
    <cellStyle name="Note 3 23" xfId="964" xr:uid="{00000000-0005-0000-0000-0000BD030000}"/>
    <cellStyle name="Note 3 24" xfId="965" xr:uid="{00000000-0005-0000-0000-0000BE030000}"/>
    <cellStyle name="Note 3 25" xfId="966" xr:uid="{00000000-0005-0000-0000-0000BF030000}"/>
    <cellStyle name="Note 3 26" xfId="967" xr:uid="{00000000-0005-0000-0000-0000C0030000}"/>
    <cellStyle name="Note 3 27" xfId="968" xr:uid="{00000000-0005-0000-0000-0000C1030000}"/>
    <cellStyle name="Note 3 3" xfId="969" xr:uid="{00000000-0005-0000-0000-0000C2030000}"/>
    <cellStyle name="Note 3 4" xfId="970" xr:uid="{00000000-0005-0000-0000-0000C3030000}"/>
    <cellStyle name="Note 3 5" xfId="971" xr:uid="{00000000-0005-0000-0000-0000C4030000}"/>
    <cellStyle name="Note 3 6" xfId="972" xr:uid="{00000000-0005-0000-0000-0000C5030000}"/>
    <cellStyle name="Note 3 7" xfId="973" xr:uid="{00000000-0005-0000-0000-0000C6030000}"/>
    <cellStyle name="Note 3 8" xfId="974" xr:uid="{00000000-0005-0000-0000-0000C7030000}"/>
    <cellStyle name="Note 3 9" xfId="975" xr:uid="{00000000-0005-0000-0000-0000C8030000}"/>
    <cellStyle name="Note 4" xfId="976" xr:uid="{00000000-0005-0000-0000-0000C9030000}"/>
    <cellStyle name="Note 4 10" xfId="977" xr:uid="{00000000-0005-0000-0000-0000CA030000}"/>
    <cellStyle name="Note 4 11" xfId="978" xr:uid="{00000000-0005-0000-0000-0000CB030000}"/>
    <cellStyle name="Note 4 12" xfId="979" xr:uid="{00000000-0005-0000-0000-0000CC030000}"/>
    <cellStyle name="Note 4 13" xfId="980" xr:uid="{00000000-0005-0000-0000-0000CD030000}"/>
    <cellStyle name="Note 4 14" xfId="981" xr:uid="{00000000-0005-0000-0000-0000CE030000}"/>
    <cellStyle name="Note 4 15" xfId="982" xr:uid="{00000000-0005-0000-0000-0000CF030000}"/>
    <cellStyle name="Note 4 16" xfId="983" xr:uid="{00000000-0005-0000-0000-0000D0030000}"/>
    <cellStyle name="Note 4 17" xfId="984" xr:uid="{00000000-0005-0000-0000-0000D1030000}"/>
    <cellStyle name="Note 4 18" xfId="985" xr:uid="{00000000-0005-0000-0000-0000D2030000}"/>
    <cellStyle name="Note 4 19" xfId="986" xr:uid="{00000000-0005-0000-0000-0000D3030000}"/>
    <cellStyle name="Note 4 2" xfId="987" xr:uid="{00000000-0005-0000-0000-0000D4030000}"/>
    <cellStyle name="Note 4 20" xfId="988" xr:uid="{00000000-0005-0000-0000-0000D5030000}"/>
    <cellStyle name="Note 4 21" xfId="989" xr:uid="{00000000-0005-0000-0000-0000D6030000}"/>
    <cellStyle name="Note 4 22" xfId="990" xr:uid="{00000000-0005-0000-0000-0000D7030000}"/>
    <cellStyle name="Note 4 23" xfId="991" xr:uid="{00000000-0005-0000-0000-0000D8030000}"/>
    <cellStyle name="Note 4 24" xfId="992" xr:uid="{00000000-0005-0000-0000-0000D9030000}"/>
    <cellStyle name="Note 4 25" xfId="993" xr:uid="{00000000-0005-0000-0000-0000DA030000}"/>
    <cellStyle name="Note 4 26" xfId="994" xr:uid="{00000000-0005-0000-0000-0000DB030000}"/>
    <cellStyle name="Note 4 27" xfId="995" xr:uid="{00000000-0005-0000-0000-0000DC030000}"/>
    <cellStyle name="Note 4 3" xfId="996" xr:uid="{00000000-0005-0000-0000-0000DD030000}"/>
    <cellStyle name="Note 4 4" xfId="997" xr:uid="{00000000-0005-0000-0000-0000DE030000}"/>
    <cellStyle name="Note 4 5" xfId="998" xr:uid="{00000000-0005-0000-0000-0000DF030000}"/>
    <cellStyle name="Note 4 6" xfId="999" xr:uid="{00000000-0005-0000-0000-0000E0030000}"/>
    <cellStyle name="Note 4 7" xfId="1000" xr:uid="{00000000-0005-0000-0000-0000E1030000}"/>
    <cellStyle name="Note 4 8" xfId="1001" xr:uid="{00000000-0005-0000-0000-0000E2030000}"/>
    <cellStyle name="Note 4 9" xfId="1002" xr:uid="{00000000-0005-0000-0000-0000E3030000}"/>
    <cellStyle name="Note 5" xfId="1003" xr:uid="{00000000-0005-0000-0000-0000E4030000}"/>
    <cellStyle name="Note 5 10" xfId="1004" xr:uid="{00000000-0005-0000-0000-0000E5030000}"/>
    <cellStyle name="Note 5 11" xfId="1005" xr:uid="{00000000-0005-0000-0000-0000E6030000}"/>
    <cellStyle name="Note 5 12" xfId="1006" xr:uid="{00000000-0005-0000-0000-0000E7030000}"/>
    <cellStyle name="Note 5 13" xfId="1007" xr:uid="{00000000-0005-0000-0000-0000E8030000}"/>
    <cellStyle name="Note 5 14" xfId="1008" xr:uid="{00000000-0005-0000-0000-0000E9030000}"/>
    <cellStyle name="Note 5 15" xfId="1009" xr:uid="{00000000-0005-0000-0000-0000EA030000}"/>
    <cellStyle name="Note 5 16" xfId="1010" xr:uid="{00000000-0005-0000-0000-0000EB030000}"/>
    <cellStyle name="Note 5 17" xfId="1011" xr:uid="{00000000-0005-0000-0000-0000EC030000}"/>
    <cellStyle name="Note 5 18" xfId="1012" xr:uid="{00000000-0005-0000-0000-0000ED030000}"/>
    <cellStyle name="Note 5 19" xfId="1013" xr:uid="{00000000-0005-0000-0000-0000EE030000}"/>
    <cellStyle name="Note 5 2" xfId="1014" xr:uid="{00000000-0005-0000-0000-0000EF030000}"/>
    <cellStyle name="Note 5 20" xfId="1015" xr:uid="{00000000-0005-0000-0000-0000F0030000}"/>
    <cellStyle name="Note 5 21" xfId="1016" xr:uid="{00000000-0005-0000-0000-0000F1030000}"/>
    <cellStyle name="Note 5 22" xfId="1017" xr:uid="{00000000-0005-0000-0000-0000F2030000}"/>
    <cellStyle name="Note 5 23" xfId="1018" xr:uid="{00000000-0005-0000-0000-0000F3030000}"/>
    <cellStyle name="Note 5 24" xfId="1019" xr:uid="{00000000-0005-0000-0000-0000F4030000}"/>
    <cellStyle name="Note 5 25" xfId="1020" xr:uid="{00000000-0005-0000-0000-0000F5030000}"/>
    <cellStyle name="Note 5 26" xfId="1021" xr:uid="{00000000-0005-0000-0000-0000F6030000}"/>
    <cellStyle name="Note 5 27" xfId="1022" xr:uid="{00000000-0005-0000-0000-0000F7030000}"/>
    <cellStyle name="Note 5 3" xfId="1023" xr:uid="{00000000-0005-0000-0000-0000F8030000}"/>
    <cellStyle name="Note 5 4" xfId="1024" xr:uid="{00000000-0005-0000-0000-0000F9030000}"/>
    <cellStyle name="Note 5 5" xfId="1025" xr:uid="{00000000-0005-0000-0000-0000FA030000}"/>
    <cellStyle name="Note 5 6" xfId="1026" xr:uid="{00000000-0005-0000-0000-0000FB030000}"/>
    <cellStyle name="Note 5 7" xfId="1027" xr:uid="{00000000-0005-0000-0000-0000FC030000}"/>
    <cellStyle name="Note 5 8" xfId="1028" xr:uid="{00000000-0005-0000-0000-0000FD030000}"/>
    <cellStyle name="Note 5 9" xfId="1029" xr:uid="{00000000-0005-0000-0000-0000FE030000}"/>
    <cellStyle name="Note 6" xfId="1030" xr:uid="{00000000-0005-0000-0000-0000FF030000}"/>
    <cellStyle name="Note 6 10" xfId="1031" xr:uid="{00000000-0005-0000-0000-000000040000}"/>
    <cellStyle name="Note 6 11" xfId="1032" xr:uid="{00000000-0005-0000-0000-000001040000}"/>
    <cellStyle name="Note 6 12" xfId="1033" xr:uid="{00000000-0005-0000-0000-000002040000}"/>
    <cellStyle name="Note 6 13" xfId="1034" xr:uid="{00000000-0005-0000-0000-000003040000}"/>
    <cellStyle name="Note 6 14" xfId="1035" xr:uid="{00000000-0005-0000-0000-000004040000}"/>
    <cellStyle name="Note 6 15" xfId="1036" xr:uid="{00000000-0005-0000-0000-000005040000}"/>
    <cellStyle name="Note 6 16" xfId="1037" xr:uid="{00000000-0005-0000-0000-000006040000}"/>
    <cellStyle name="Note 6 17" xfId="1038" xr:uid="{00000000-0005-0000-0000-000007040000}"/>
    <cellStyle name="Note 6 18" xfId="1039" xr:uid="{00000000-0005-0000-0000-000008040000}"/>
    <cellStyle name="Note 6 19" xfId="1040" xr:uid="{00000000-0005-0000-0000-000009040000}"/>
    <cellStyle name="Note 6 2" xfId="1041" xr:uid="{00000000-0005-0000-0000-00000A040000}"/>
    <cellStyle name="Note 6 20" xfId="1042" xr:uid="{00000000-0005-0000-0000-00000B040000}"/>
    <cellStyle name="Note 6 21" xfId="1043" xr:uid="{00000000-0005-0000-0000-00000C040000}"/>
    <cellStyle name="Note 6 22" xfId="1044" xr:uid="{00000000-0005-0000-0000-00000D040000}"/>
    <cellStyle name="Note 6 23" xfId="1045" xr:uid="{00000000-0005-0000-0000-00000E040000}"/>
    <cellStyle name="Note 6 24" xfId="1046" xr:uid="{00000000-0005-0000-0000-00000F040000}"/>
    <cellStyle name="Note 6 25" xfId="1047" xr:uid="{00000000-0005-0000-0000-000010040000}"/>
    <cellStyle name="Note 6 26" xfId="1048" xr:uid="{00000000-0005-0000-0000-000011040000}"/>
    <cellStyle name="Note 6 27" xfId="1049" xr:uid="{00000000-0005-0000-0000-000012040000}"/>
    <cellStyle name="Note 6 3" xfId="1050" xr:uid="{00000000-0005-0000-0000-000013040000}"/>
    <cellStyle name="Note 6 4" xfId="1051" xr:uid="{00000000-0005-0000-0000-000014040000}"/>
    <cellStyle name="Note 6 5" xfId="1052" xr:uid="{00000000-0005-0000-0000-000015040000}"/>
    <cellStyle name="Note 6 6" xfId="1053" xr:uid="{00000000-0005-0000-0000-000016040000}"/>
    <cellStyle name="Note 6 7" xfId="1054" xr:uid="{00000000-0005-0000-0000-000017040000}"/>
    <cellStyle name="Note 6 8" xfId="1055" xr:uid="{00000000-0005-0000-0000-000018040000}"/>
    <cellStyle name="Note 6 9" xfId="1056" xr:uid="{00000000-0005-0000-0000-000019040000}"/>
    <cellStyle name="Note 7" xfId="1057" xr:uid="{00000000-0005-0000-0000-00001A040000}"/>
    <cellStyle name="Note 7 10" xfId="1058" xr:uid="{00000000-0005-0000-0000-00001B040000}"/>
    <cellStyle name="Note 7 11" xfId="1059" xr:uid="{00000000-0005-0000-0000-00001C040000}"/>
    <cellStyle name="Note 7 12" xfId="1060" xr:uid="{00000000-0005-0000-0000-00001D040000}"/>
    <cellStyle name="Note 7 13" xfId="1061" xr:uid="{00000000-0005-0000-0000-00001E040000}"/>
    <cellStyle name="Note 7 14" xfId="1062" xr:uid="{00000000-0005-0000-0000-00001F040000}"/>
    <cellStyle name="Note 7 15" xfId="1063" xr:uid="{00000000-0005-0000-0000-000020040000}"/>
    <cellStyle name="Note 7 16" xfId="1064" xr:uid="{00000000-0005-0000-0000-000021040000}"/>
    <cellStyle name="Note 7 17" xfId="1065" xr:uid="{00000000-0005-0000-0000-000022040000}"/>
    <cellStyle name="Note 7 18" xfId="1066" xr:uid="{00000000-0005-0000-0000-000023040000}"/>
    <cellStyle name="Note 7 19" xfId="1067" xr:uid="{00000000-0005-0000-0000-000024040000}"/>
    <cellStyle name="Note 7 2" xfId="1068" xr:uid="{00000000-0005-0000-0000-000025040000}"/>
    <cellStyle name="Note 7 20" xfId="1069" xr:uid="{00000000-0005-0000-0000-000026040000}"/>
    <cellStyle name="Note 7 21" xfId="1070" xr:uid="{00000000-0005-0000-0000-000027040000}"/>
    <cellStyle name="Note 7 22" xfId="1071" xr:uid="{00000000-0005-0000-0000-000028040000}"/>
    <cellStyle name="Note 7 23" xfId="1072" xr:uid="{00000000-0005-0000-0000-000029040000}"/>
    <cellStyle name="Note 7 24" xfId="1073" xr:uid="{00000000-0005-0000-0000-00002A040000}"/>
    <cellStyle name="Note 7 25" xfId="1074" xr:uid="{00000000-0005-0000-0000-00002B040000}"/>
    <cellStyle name="Note 7 26" xfId="1075" xr:uid="{00000000-0005-0000-0000-00002C040000}"/>
    <cellStyle name="Note 7 27" xfId="1076" xr:uid="{00000000-0005-0000-0000-00002D040000}"/>
    <cellStyle name="Note 7 3" xfId="1077" xr:uid="{00000000-0005-0000-0000-00002E040000}"/>
    <cellStyle name="Note 7 4" xfId="1078" xr:uid="{00000000-0005-0000-0000-00002F040000}"/>
    <cellStyle name="Note 7 5" xfId="1079" xr:uid="{00000000-0005-0000-0000-000030040000}"/>
    <cellStyle name="Note 7 6" xfId="1080" xr:uid="{00000000-0005-0000-0000-000031040000}"/>
    <cellStyle name="Note 7 7" xfId="1081" xr:uid="{00000000-0005-0000-0000-000032040000}"/>
    <cellStyle name="Note 7 8" xfId="1082" xr:uid="{00000000-0005-0000-0000-000033040000}"/>
    <cellStyle name="Note 7 9" xfId="1083" xr:uid="{00000000-0005-0000-0000-000034040000}"/>
    <cellStyle name="Output" xfId="27" builtinId="21" customBuiltin="1"/>
    <cellStyle name="Percent" xfId="5" builtinId="5"/>
    <cellStyle name="Percent 2" xfId="63" xr:uid="{00000000-0005-0000-0000-000037040000}"/>
    <cellStyle name="Percent 3" xfId="59" xr:uid="{00000000-0005-0000-0000-000038040000}"/>
    <cellStyle name="Title" xfId="18" builtinId="15" customBuiltin="1"/>
    <cellStyle name="Total" xfId="33" builtinId="25" customBuiltin="1"/>
    <cellStyle name="Warning Text" xfId="3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J73"/>
  <sheetViews>
    <sheetView tabSelected="1" showRuler="0" showWhiteSpace="0" zoomScale="85" zoomScaleNormal="85" zoomScalePageLayoutView="90" workbookViewId="0"/>
  </sheetViews>
  <sheetFormatPr defaultColWidth="8.69921875" defaultRowHeight="13.8"/>
  <cols>
    <col min="1" max="1" width="5.09765625" customWidth="1"/>
    <col min="2" max="2" width="40.3984375" bestFit="1" customWidth="1"/>
    <col min="3" max="3" width="1.09765625" customWidth="1"/>
    <col min="4" max="4" width="18" style="202" customWidth="1"/>
    <col min="5" max="6" width="18" customWidth="1"/>
    <col min="7" max="7" width="1.09765625" customWidth="1"/>
    <col min="8" max="8" width="18" style="202" customWidth="1"/>
    <col min="9" max="9" width="33.3984375" customWidth="1"/>
    <col min="10" max="10" width="14.19921875" bestFit="1" customWidth="1"/>
  </cols>
  <sheetData>
    <row r="1" spans="1:9">
      <c r="B1" s="1" t="s">
        <v>0</v>
      </c>
    </row>
    <row r="2" spans="1:9">
      <c r="B2" s="1" t="s">
        <v>403</v>
      </c>
    </row>
    <row r="3" spans="1:9">
      <c r="B3" s="7">
        <v>45783</v>
      </c>
    </row>
    <row r="4" spans="1:9" ht="5.25" customHeight="1" thickBot="1"/>
    <row r="5" spans="1:9" ht="18" customHeight="1" thickBot="1">
      <c r="A5" s="9" t="s">
        <v>1</v>
      </c>
      <c r="B5" s="2"/>
      <c r="C5" s="13"/>
      <c r="D5" s="203" t="s">
        <v>337</v>
      </c>
      <c r="E5" s="9" t="s">
        <v>404</v>
      </c>
      <c r="F5" s="9" t="s">
        <v>2</v>
      </c>
      <c r="G5" s="286"/>
      <c r="H5" s="203" t="s">
        <v>406</v>
      </c>
      <c r="I5" s="3"/>
    </row>
    <row r="6" spans="1:9" ht="18" customHeight="1" thickBot="1">
      <c r="A6" s="10" t="s">
        <v>3</v>
      </c>
      <c r="B6" s="4" t="s">
        <v>4</v>
      </c>
      <c r="C6" s="14"/>
      <c r="D6" s="204">
        <v>2025</v>
      </c>
      <c r="E6" s="10" t="s">
        <v>5</v>
      </c>
      <c r="F6" s="10" t="s">
        <v>405</v>
      </c>
      <c r="G6" s="287"/>
      <c r="H6" s="204">
        <v>2026</v>
      </c>
      <c r="I6" s="5" t="s">
        <v>407</v>
      </c>
    </row>
    <row r="7" spans="1:9" ht="9.75" customHeight="1"/>
    <row r="8" spans="1:9">
      <c r="A8" s="15"/>
      <c r="B8" s="21"/>
      <c r="C8" s="11"/>
      <c r="D8" s="8"/>
      <c r="E8" s="8"/>
      <c r="F8" s="8"/>
      <c r="G8" s="11"/>
      <c r="H8" s="8"/>
      <c r="I8" s="213"/>
    </row>
    <row r="9" spans="1:9" ht="41.4">
      <c r="A9" s="15">
        <v>1</v>
      </c>
      <c r="B9" s="127" t="s">
        <v>6</v>
      </c>
      <c r="C9" s="11"/>
      <c r="D9" s="225">
        <v>165791</v>
      </c>
      <c r="E9" s="117"/>
      <c r="F9" s="8"/>
      <c r="G9" s="11"/>
      <c r="H9" s="225">
        <f>D9*1.04</f>
        <v>172422.64</v>
      </c>
      <c r="I9" s="112" t="s">
        <v>408</v>
      </c>
    </row>
    <row r="10" spans="1:9" ht="24.75" customHeight="1">
      <c r="A10" s="15">
        <v>2</v>
      </c>
      <c r="B10" s="21" t="s">
        <v>263</v>
      </c>
      <c r="C10" s="11"/>
      <c r="D10" s="8">
        <v>400</v>
      </c>
      <c r="E10" s="8"/>
      <c r="F10" s="8"/>
      <c r="G10" s="11"/>
      <c r="H10" s="8">
        <v>450</v>
      </c>
      <c r="I10" s="214" t="s">
        <v>269</v>
      </c>
    </row>
    <row r="11" spans="1:9">
      <c r="A11" s="15">
        <v>3</v>
      </c>
      <c r="B11" s="127" t="s">
        <v>7</v>
      </c>
      <c r="C11" s="136"/>
      <c r="D11" s="215"/>
      <c r="E11" s="136"/>
      <c r="F11" s="136"/>
      <c r="G11" s="189"/>
      <c r="H11" s="215"/>
      <c r="I11" s="215"/>
    </row>
    <row r="12" spans="1:9" ht="41.4">
      <c r="A12" s="15">
        <v>4</v>
      </c>
      <c r="B12" s="21" t="s">
        <v>409</v>
      </c>
      <c r="C12" s="11"/>
      <c r="D12" s="8">
        <v>8000</v>
      </c>
      <c r="E12" s="8"/>
      <c r="F12" s="225"/>
      <c r="G12" s="11"/>
      <c r="H12" s="300">
        <v>80000</v>
      </c>
      <c r="I12" s="214" t="s">
        <v>410</v>
      </c>
    </row>
    <row r="13" spans="1:9" ht="27.6">
      <c r="A13" s="15">
        <v>5</v>
      </c>
      <c r="B13" s="21" t="s">
        <v>264</v>
      </c>
      <c r="C13" s="11"/>
      <c r="D13" s="8">
        <v>6000</v>
      </c>
      <c r="E13" s="8"/>
      <c r="F13" s="225"/>
      <c r="G13" s="11"/>
      <c r="H13" s="225">
        <v>6200</v>
      </c>
      <c r="I13" s="214" t="s">
        <v>411</v>
      </c>
    </row>
    <row r="14" spans="1:9" s="314" customFormat="1" ht="41.4">
      <c r="A14" s="311">
        <v>6</v>
      </c>
      <c r="B14" s="312" t="s">
        <v>292</v>
      </c>
      <c r="C14" s="189"/>
      <c r="D14" s="189">
        <v>53107</v>
      </c>
      <c r="E14" s="189"/>
      <c r="F14" s="289"/>
      <c r="G14" s="189"/>
      <c r="H14" s="289">
        <v>56000</v>
      </c>
      <c r="I14" s="313" t="s">
        <v>449</v>
      </c>
    </row>
    <row r="15" spans="1:9" ht="55.2">
      <c r="A15" s="15">
        <v>7</v>
      </c>
      <c r="B15" s="233" t="s">
        <v>336</v>
      </c>
      <c r="C15" s="11"/>
      <c r="D15" s="8">
        <v>37614</v>
      </c>
      <c r="E15" s="8"/>
      <c r="F15" s="225"/>
      <c r="G15" s="11"/>
      <c r="H15" s="8">
        <f>D15*1.05</f>
        <v>39494.700000000004</v>
      </c>
      <c r="I15" s="112" t="s">
        <v>412</v>
      </c>
    </row>
    <row r="16" spans="1:9" ht="41.4">
      <c r="A16" s="15">
        <v>8</v>
      </c>
      <c r="B16" s="233" t="s">
        <v>390</v>
      </c>
      <c r="C16" s="11"/>
      <c r="D16" s="8">
        <v>3885</v>
      </c>
      <c r="E16" s="8"/>
      <c r="F16" s="225"/>
      <c r="G16" s="11"/>
      <c r="H16" s="8">
        <f>D16*1.04</f>
        <v>4040.4</v>
      </c>
      <c r="I16" s="112" t="s">
        <v>397</v>
      </c>
    </row>
    <row r="17" spans="1:9" ht="41.4">
      <c r="A17" s="15">
        <v>9</v>
      </c>
      <c r="B17" s="233" t="s">
        <v>316</v>
      </c>
      <c r="C17" s="11"/>
      <c r="D17" s="8">
        <v>12515</v>
      </c>
      <c r="E17" s="189"/>
      <c r="F17" s="225"/>
      <c r="G17" s="11"/>
      <c r="H17" s="225">
        <f>D17*1.04</f>
        <v>13015.6</v>
      </c>
      <c r="I17" s="112" t="s">
        <v>398</v>
      </c>
    </row>
    <row r="18" spans="1:9" s="314" customFormat="1" ht="41.4">
      <c r="A18" s="311">
        <v>10</v>
      </c>
      <c r="B18" s="315" t="s">
        <v>293</v>
      </c>
      <c r="C18" s="189"/>
      <c r="D18" s="189">
        <v>13277</v>
      </c>
      <c r="E18" s="189"/>
      <c r="F18" s="289"/>
      <c r="G18" s="189"/>
      <c r="H18" s="289">
        <v>14000</v>
      </c>
      <c r="I18" s="316" t="s">
        <v>450</v>
      </c>
    </row>
    <row r="19" spans="1:9" ht="41.4">
      <c r="A19" s="15">
        <v>11</v>
      </c>
      <c r="B19" s="233" t="s">
        <v>340</v>
      </c>
      <c r="C19" s="11"/>
      <c r="D19" s="8">
        <v>3630.0000000000005</v>
      </c>
      <c r="E19" s="8"/>
      <c r="F19" s="225"/>
      <c r="G19" s="11"/>
      <c r="H19" s="8">
        <v>3455</v>
      </c>
      <c r="I19" s="112" t="s">
        <v>413</v>
      </c>
    </row>
    <row r="20" spans="1:9" ht="41.4">
      <c r="A20" s="15">
        <v>12</v>
      </c>
      <c r="B20" s="21" t="s">
        <v>451</v>
      </c>
      <c r="C20" s="11"/>
      <c r="D20" s="8">
        <v>3888</v>
      </c>
      <c r="E20" s="8"/>
      <c r="F20" s="225"/>
      <c r="G20" s="11"/>
      <c r="H20" s="225">
        <v>4000</v>
      </c>
      <c r="I20" s="112" t="s">
        <v>414</v>
      </c>
    </row>
    <row r="21" spans="1:9" ht="41.4">
      <c r="A21" s="15">
        <v>13</v>
      </c>
      <c r="B21" s="21" t="s">
        <v>396</v>
      </c>
      <c r="C21" s="11"/>
      <c r="D21" s="211">
        <v>11700</v>
      </c>
      <c r="E21" s="211"/>
      <c r="F21" s="211"/>
      <c r="G21" s="11"/>
      <c r="H21" s="211"/>
      <c r="I21" s="112" t="s">
        <v>415</v>
      </c>
    </row>
    <row r="22" spans="1:9" ht="24.75" customHeight="1">
      <c r="A22" s="15">
        <v>14</v>
      </c>
      <c r="B22" s="127" t="s">
        <v>8</v>
      </c>
      <c r="C22" s="136"/>
      <c r="D22" s="209"/>
      <c r="E22" s="136"/>
      <c r="F22" s="136"/>
      <c r="G22" s="189"/>
      <c r="H22" s="209"/>
      <c r="I22" s="215"/>
    </row>
    <row r="23" spans="1:9" ht="66">
      <c r="A23" s="15">
        <v>15</v>
      </c>
      <c r="B23" s="21" t="s">
        <v>265</v>
      </c>
      <c r="C23" s="11"/>
      <c r="D23" s="189">
        <v>532684</v>
      </c>
      <c r="E23" s="8"/>
      <c r="F23" s="225"/>
      <c r="G23" s="11"/>
      <c r="H23" s="289">
        <v>560000</v>
      </c>
      <c r="I23" s="213" t="s">
        <v>416</v>
      </c>
    </row>
    <row r="24" spans="1:9" ht="39.6">
      <c r="A24" s="15">
        <v>16</v>
      </c>
      <c r="B24" s="21" t="s">
        <v>399</v>
      </c>
      <c r="C24" s="11"/>
      <c r="D24" s="8">
        <v>5000</v>
      </c>
      <c r="E24" s="8"/>
      <c r="F24" s="225"/>
      <c r="G24" s="11"/>
      <c r="H24" s="225">
        <f>D24*1.04</f>
        <v>5200</v>
      </c>
      <c r="I24" s="213" t="s">
        <v>417</v>
      </c>
    </row>
    <row r="25" spans="1:9" ht="24.75" customHeight="1">
      <c r="A25" s="15">
        <v>17</v>
      </c>
      <c r="B25" s="127" t="s">
        <v>9</v>
      </c>
      <c r="C25" s="136"/>
      <c r="D25" s="209"/>
      <c r="E25" s="136"/>
      <c r="F25" s="136"/>
      <c r="G25" s="189"/>
      <c r="H25" s="210"/>
      <c r="I25" s="215"/>
    </row>
    <row r="26" spans="1:9" ht="19.5" customHeight="1">
      <c r="A26" s="15">
        <v>18</v>
      </c>
      <c r="B26" s="21" t="s">
        <v>262</v>
      </c>
      <c r="C26" s="11"/>
      <c r="D26" s="8">
        <v>1000</v>
      </c>
      <c r="E26" s="189"/>
      <c r="F26" s="225"/>
      <c r="G26" s="11"/>
      <c r="H26" s="225">
        <v>1000</v>
      </c>
      <c r="I26" s="213" t="s">
        <v>266</v>
      </c>
    </row>
    <row r="27" spans="1:9" ht="26.4">
      <c r="A27" s="15">
        <v>19</v>
      </c>
      <c r="B27" s="21" t="s">
        <v>10</v>
      </c>
      <c r="C27" s="11"/>
      <c r="D27" s="8">
        <v>7000</v>
      </c>
      <c r="E27" s="8"/>
      <c r="F27" s="225"/>
      <c r="G27" s="11"/>
      <c r="H27" s="225">
        <v>7000</v>
      </c>
      <c r="I27" s="213" t="s">
        <v>418</v>
      </c>
    </row>
    <row r="28" spans="1:9" ht="24.75" customHeight="1">
      <c r="A28" s="15">
        <v>20</v>
      </c>
      <c r="B28" s="127" t="s">
        <v>11</v>
      </c>
      <c r="C28" s="136"/>
      <c r="D28" s="209"/>
      <c r="E28" s="136"/>
      <c r="F28" s="136"/>
      <c r="G28" s="189"/>
      <c r="H28" s="209"/>
      <c r="I28" s="215"/>
    </row>
    <row r="29" spans="1:9" ht="24.75" customHeight="1">
      <c r="A29" s="15">
        <v>21</v>
      </c>
      <c r="B29" s="21" t="s">
        <v>12</v>
      </c>
      <c r="C29" s="11"/>
      <c r="D29" s="8">
        <v>4500</v>
      </c>
      <c r="E29" s="189"/>
      <c r="F29" s="225"/>
      <c r="G29" s="11"/>
      <c r="H29" s="225">
        <v>4500</v>
      </c>
      <c r="I29" s="213" t="s">
        <v>380</v>
      </c>
    </row>
    <row r="30" spans="1:9" ht="24.75" customHeight="1">
      <c r="A30" s="15">
        <v>22</v>
      </c>
      <c r="B30" s="21" t="s">
        <v>13</v>
      </c>
      <c r="C30" s="11"/>
      <c r="D30" s="8">
        <v>45000</v>
      </c>
      <c r="E30" s="189"/>
      <c r="F30" s="225"/>
      <c r="G30" s="11"/>
      <c r="H30" s="225">
        <v>46000</v>
      </c>
      <c r="I30" s="213" t="s">
        <v>419</v>
      </c>
    </row>
    <row r="31" spans="1:9" ht="24.75" customHeight="1">
      <c r="A31" s="15">
        <v>23</v>
      </c>
      <c r="B31" s="22" t="s">
        <v>14</v>
      </c>
      <c r="C31" s="11"/>
      <c r="D31" s="8">
        <v>5000</v>
      </c>
      <c r="E31" s="8"/>
      <c r="F31" s="225"/>
      <c r="G31" s="11"/>
      <c r="H31" s="8">
        <v>5000</v>
      </c>
      <c r="I31" s="213"/>
    </row>
    <row r="32" spans="1:9" ht="24.75" customHeight="1">
      <c r="A32" s="15">
        <v>24</v>
      </c>
      <c r="B32" s="127" t="s">
        <v>15</v>
      </c>
      <c r="C32" s="136"/>
      <c r="D32" s="209"/>
      <c r="E32" s="136"/>
      <c r="F32" s="136"/>
      <c r="G32" s="189"/>
      <c r="H32" s="209"/>
      <c r="I32" s="215"/>
    </row>
    <row r="33" spans="1:10" ht="53.4">
      <c r="A33" s="15">
        <v>25</v>
      </c>
      <c r="B33" s="135" t="s">
        <v>16</v>
      </c>
      <c r="C33" s="11"/>
      <c r="D33" s="8">
        <v>155203</v>
      </c>
      <c r="E33" s="189"/>
      <c r="F33" s="225"/>
      <c r="G33" s="11"/>
      <c r="H33" s="225">
        <f>D33*1.05</f>
        <v>162963.15</v>
      </c>
      <c r="I33" s="213" t="s">
        <v>420</v>
      </c>
    </row>
    <row r="34" spans="1:10" ht="26.4">
      <c r="A34" s="15">
        <v>26</v>
      </c>
      <c r="B34" s="22" t="s">
        <v>17</v>
      </c>
      <c r="C34" s="12"/>
      <c r="D34" s="134">
        <v>70000</v>
      </c>
      <c r="E34" s="189"/>
      <c r="F34" s="225"/>
      <c r="G34" s="11"/>
      <c r="H34" s="225">
        <v>80000</v>
      </c>
      <c r="I34" s="213" t="s">
        <v>421</v>
      </c>
    </row>
    <row r="35" spans="1:10" ht="51" customHeight="1">
      <c r="A35" s="15">
        <v>27</v>
      </c>
      <c r="B35" s="22" t="s">
        <v>271</v>
      </c>
      <c r="C35" s="12"/>
      <c r="D35" s="225">
        <v>10000</v>
      </c>
      <c r="E35" s="190"/>
      <c r="F35" s="225"/>
      <c r="G35" s="11"/>
      <c r="H35" s="225">
        <v>10000</v>
      </c>
      <c r="I35" s="213" t="s">
        <v>422</v>
      </c>
    </row>
    <row r="36" spans="1:10" ht="24.75" customHeight="1">
      <c r="A36" s="15">
        <v>28</v>
      </c>
      <c r="B36" s="137" t="s">
        <v>18</v>
      </c>
      <c r="C36" s="12"/>
      <c r="D36" s="209">
        <f>SUM(D33:D35)</f>
        <v>235203</v>
      </c>
      <c r="E36" s="156"/>
      <c r="F36" s="156"/>
      <c r="G36" s="12"/>
      <c r="H36" s="209">
        <f>SUM(H33:H35)</f>
        <v>252963.15</v>
      </c>
      <c r="I36" s="215"/>
    </row>
    <row r="37" spans="1:10">
      <c r="A37" s="15">
        <v>29</v>
      </c>
      <c r="B37" s="127" t="s">
        <v>19</v>
      </c>
      <c r="C37" s="136"/>
      <c r="D37" s="210"/>
      <c r="E37" s="136"/>
      <c r="F37" s="136"/>
      <c r="G37" s="136"/>
      <c r="H37" s="210"/>
      <c r="I37" s="215"/>
    </row>
    <row r="38" spans="1:10">
      <c r="A38" s="15">
        <v>30</v>
      </c>
      <c r="B38" s="22" t="s">
        <v>20</v>
      </c>
      <c r="C38" s="11"/>
      <c r="D38" s="222"/>
      <c r="E38" s="189"/>
      <c r="F38" s="8"/>
      <c r="G38" s="11"/>
      <c r="H38" s="222"/>
      <c r="I38" s="217" t="s">
        <v>391</v>
      </c>
    </row>
    <row r="39" spans="1:10">
      <c r="A39" s="15">
        <v>31</v>
      </c>
      <c r="B39" s="22" t="s">
        <v>21</v>
      </c>
      <c r="C39" s="11"/>
      <c r="D39" s="222"/>
      <c r="E39" s="8"/>
      <c r="F39" s="8"/>
      <c r="G39" s="11"/>
      <c r="H39" s="222"/>
      <c r="I39" s="217" t="s">
        <v>392</v>
      </c>
    </row>
    <row r="40" spans="1:10">
      <c r="A40" s="15">
        <v>32</v>
      </c>
      <c r="B40" s="22" t="s">
        <v>22</v>
      </c>
      <c r="C40" s="11"/>
      <c r="D40" s="222"/>
      <c r="E40" s="8"/>
      <c r="F40" s="8"/>
      <c r="G40" s="11"/>
      <c r="H40" s="222"/>
      <c r="I40" s="217" t="s">
        <v>393</v>
      </c>
    </row>
    <row r="41" spans="1:10">
      <c r="A41" s="15">
        <v>33</v>
      </c>
      <c r="B41" s="22" t="s">
        <v>23</v>
      </c>
      <c r="C41" s="11"/>
      <c r="D41" s="211">
        <v>20000</v>
      </c>
      <c r="E41" s="63"/>
      <c r="F41" s="63"/>
      <c r="G41" s="11"/>
      <c r="H41" s="211"/>
      <c r="I41" s="218"/>
    </row>
    <row r="42" spans="1:10" ht="24.75" customHeight="1" thickBot="1">
      <c r="A42" s="15">
        <v>34</v>
      </c>
      <c r="B42" s="23"/>
      <c r="C42" s="18"/>
      <c r="D42" s="222"/>
      <c r="E42" s="17"/>
      <c r="F42" s="17"/>
      <c r="G42" s="18"/>
      <c r="H42" s="222"/>
      <c r="I42" s="219"/>
      <c r="J42" s="157" t="s">
        <v>311</v>
      </c>
    </row>
    <row r="43" spans="1:10" ht="22.5" customHeight="1" thickBot="1">
      <c r="A43" s="15">
        <v>35</v>
      </c>
      <c r="B43" s="69" t="s">
        <v>24</v>
      </c>
      <c r="C43" s="70"/>
      <c r="D43" s="227">
        <f>SUM(D9:D35)-D41-D21</f>
        <v>1123494</v>
      </c>
      <c r="E43" s="126">
        <f>SUM(E9:E35)-E41</f>
        <v>0</v>
      </c>
      <c r="F43" s="126"/>
      <c r="G43" s="70"/>
      <c r="H43" s="227">
        <f>SUM(H9:H35)-H41-H21</f>
        <v>1274741.49</v>
      </c>
      <c r="I43" s="220" t="s">
        <v>25</v>
      </c>
      <c r="J43" s="258">
        <f>(H43-D43)/D43</f>
        <v>0.13462242789013559</v>
      </c>
    </row>
    <row r="44" spans="1:10" ht="15" customHeight="1">
      <c r="A44" s="15">
        <v>36</v>
      </c>
      <c r="B44" s="26"/>
      <c r="C44" s="20"/>
      <c r="D44" s="222"/>
      <c r="E44" s="19"/>
      <c r="F44" s="19"/>
      <c r="G44" s="20"/>
      <c r="H44" s="222"/>
      <c r="I44" s="221"/>
    </row>
    <row r="45" spans="1:10" ht="24.75" customHeight="1">
      <c r="A45" s="15">
        <v>37</v>
      </c>
      <c r="B45" s="24" t="s">
        <v>261</v>
      </c>
      <c r="C45" s="11"/>
      <c r="D45" s="205">
        <v>224000</v>
      </c>
      <c r="E45" s="8"/>
      <c r="F45" s="205">
        <v>224000</v>
      </c>
      <c r="G45" s="11"/>
      <c r="H45" s="205">
        <v>224000</v>
      </c>
      <c r="I45" s="216"/>
    </row>
    <row r="46" spans="1:10" ht="15.75" customHeight="1" thickBot="1">
      <c r="A46" s="15">
        <v>38</v>
      </c>
      <c r="B46" s="24"/>
      <c r="C46" s="11"/>
      <c r="D46" s="208"/>
      <c r="E46" s="8"/>
      <c r="F46" s="8"/>
      <c r="G46" s="11"/>
      <c r="H46" s="208"/>
      <c r="I46" s="8"/>
    </row>
    <row r="47" spans="1:10" ht="24.75" customHeight="1" thickBot="1">
      <c r="A47" s="15">
        <v>39</v>
      </c>
      <c r="B47" s="25" t="s">
        <v>26</v>
      </c>
      <c r="C47" s="106"/>
      <c r="D47" s="226">
        <f>Carryover!C161</f>
        <v>57329.689999999959</v>
      </c>
      <c r="E47" s="281"/>
      <c r="F47" s="120">
        <f>Carryover!C161</f>
        <v>57329.689999999959</v>
      </c>
      <c r="G47" s="106"/>
      <c r="H47" s="226">
        <f>Carryover!C168</f>
        <v>57329.689999999959</v>
      </c>
      <c r="I47" s="112" t="s">
        <v>27</v>
      </c>
    </row>
    <row r="48" spans="1:10" ht="24.75" customHeight="1">
      <c r="A48" s="15"/>
      <c r="B48" s="21"/>
      <c r="C48" s="11"/>
      <c r="D48" s="212"/>
      <c r="E48" s="19"/>
      <c r="F48" s="19"/>
      <c r="G48" s="11"/>
      <c r="H48" s="212"/>
      <c r="I48" s="8"/>
    </row>
    <row r="49" spans="1:2" ht="6.75" customHeight="1"/>
    <row r="55" spans="1:2">
      <c r="A55" s="1"/>
    </row>
    <row r="57" spans="1:2">
      <c r="B57" s="1"/>
    </row>
    <row r="68" spans="2:2" ht="24.75" customHeight="1">
      <c r="B68" s="1"/>
    </row>
    <row r="69" spans="2:2" ht="29.25" customHeight="1"/>
    <row r="73" spans="2:2" ht="24" customHeight="1">
      <c r="B73" s="1"/>
    </row>
  </sheetData>
  <phoneticPr fontId="0" type="noConversion"/>
  <printOptions horizontalCentered="1"/>
  <pageMargins left="0.36" right="0.35" top="0.48" bottom="0.56999999999999995" header="0.22" footer="0.27"/>
  <pageSetup scale="72" fitToHeight="2" orientation="landscape" r:id="rId1"/>
  <headerFooter>
    <oddHeader>&amp;C&amp;K0000002025 Approved MORE Budget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3:L168"/>
  <sheetViews>
    <sheetView showRuler="0" topLeftCell="A141" zoomScale="83" zoomScaleNormal="83" workbookViewId="0">
      <selection activeCell="A161" sqref="A161"/>
    </sheetView>
  </sheetViews>
  <sheetFormatPr defaultColWidth="8.69921875" defaultRowHeight="13.8"/>
  <cols>
    <col min="1" max="1" width="5.09765625" customWidth="1"/>
    <col min="2" max="2" width="43.59765625" customWidth="1"/>
    <col min="3" max="3" width="17.8984375" customWidth="1"/>
    <col min="4" max="4" width="3.69921875" customWidth="1"/>
    <col min="5" max="5" width="13.59765625" customWidth="1"/>
    <col min="6" max="6" width="15.8984375" customWidth="1"/>
    <col min="7" max="7" width="1.09765625" customWidth="1"/>
    <col min="8" max="9" width="18" customWidth="1"/>
  </cols>
  <sheetData>
    <row r="3" spans="1:6">
      <c r="E3" s="154"/>
    </row>
    <row r="4" spans="1:6">
      <c r="E4" s="154"/>
    </row>
    <row r="5" spans="1:6">
      <c r="E5" s="154" t="s">
        <v>230</v>
      </c>
    </row>
    <row r="6" spans="1:6">
      <c r="E6" s="154" t="s">
        <v>294</v>
      </c>
    </row>
    <row r="7" spans="1:6">
      <c r="A7" s="1" t="s">
        <v>28</v>
      </c>
      <c r="E7" s="154" t="s">
        <v>295</v>
      </c>
    </row>
    <row r="8" spans="1:6" ht="14.4" thickBot="1">
      <c r="E8" s="154" t="s">
        <v>29</v>
      </c>
      <c r="F8" s="283" t="s">
        <v>334</v>
      </c>
    </row>
    <row r="9" spans="1:6" ht="14.4" hidden="1" thickBot="1">
      <c r="B9" s="1" t="s">
        <v>31</v>
      </c>
      <c r="C9" s="108">
        <v>490267.7</v>
      </c>
      <c r="F9" s="107">
        <v>300000</v>
      </c>
    </row>
    <row r="10" spans="1:6" hidden="1">
      <c r="B10" t="s">
        <v>32</v>
      </c>
      <c r="C10" s="109">
        <v>-300000</v>
      </c>
    </row>
    <row r="11" spans="1:6" hidden="1">
      <c r="B11" t="s">
        <v>33</v>
      </c>
      <c r="C11" s="109">
        <v>-46260</v>
      </c>
    </row>
    <row r="12" spans="1:6" hidden="1">
      <c r="B12" t="s">
        <v>34</v>
      </c>
      <c r="C12" s="109">
        <v>43000</v>
      </c>
    </row>
    <row r="13" spans="1:6" hidden="1">
      <c r="B13" t="s">
        <v>35</v>
      </c>
      <c r="C13" s="109">
        <v>18000</v>
      </c>
    </row>
    <row r="14" spans="1:6" hidden="1">
      <c r="B14" t="s">
        <v>36</v>
      </c>
      <c r="C14" s="110">
        <v>27000</v>
      </c>
    </row>
    <row r="15" spans="1:6" hidden="1">
      <c r="B15" t="s">
        <v>37</v>
      </c>
      <c r="C15" s="110">
        <v>18000</v>
      </c>
    </row>
    <row r="16" spans="1:6" hidden="1">
      <c r="B16" t="s">
        <v>38</v>
      </c>
      <c r="C16" s="110">
        <v>27000</v>
      </c>
    </row>
    <row r="17" spans="2:5" hidden="1">
      <c r="B17" t="s">
        <v>39</v>
      </c>
      <c r="C17" s="110">
        <v>-32950</v>
      </c>
    </row>
    <row r="18" spans="2:5" hidden="1">
      <c r="B18" t="s">
        <v>40</v>
      </c>
      <c r="C18" s="110">
        <v>-6544</v>
      </c>
    </row>
    <row r="19" spans="2:5" ht="14.4" hidden="1" thickBot="1">
      <c r="B19" t="s">
        <v>41</v>
      </c>
      <c r="C19" s="110">
        <v>30177.18</v>
      </c>
    </row>
    <row r="20" spans="2:5" ht="24.75" hidden="1" customHeight="1" thickBot="1">
      <c r="B20" s="1" t="s">
        <v>42</v>
      </c>
      <c r="C20" s="107">
        <f>SUM(C9:C19)</f>
        <v>267690.88</v>
      </c>
      <c r="E20" s="107">
        <f>C20+300000</f>
        <v>567690.88</v>
      </c>
    </row>
    <row r="21" spans="2:5" ht="29.25" hidden="1" customHeight="1">
      <c r="B21" t="s">
        <v>43</v>
      </c>
      <c r="C21" s="105">
        <v>-104250</v>
      </c>
    </row>
    <row r="22" spans="2:5" hidden="1">
      <c r="B22" t="s">
        <v>44</v>
      </c>
      <c r="C22" s="109">
        <v>-4853</v>
      </c>
    </row>
    <row r="23" spans="2:5" hidden="1">
      <c r="B23" t="s">
        <v>45</v>
      </c>
      <c r="C23" s="109">
        <v>31500</v>
      </c>
    </row>
    <row r="24" spans="2:5" hidden="1">
      <c r="B24" t="s">
        <v>46</v>
      </c>
      <c r="C24" s="109">
        <v>27000</v>
      </c>
    </row>
    <row r="25" spans="2:5" hidden="1">
      <c r="B25" t="s">
        <v>39</v>
      </c>
      <c r="C25" s="109">
        <v>-23507</v>
      </c>
    </row>
    <row r="26" spans="2:5" hidden="1">
      <c r="B26" t="s">
        <v>47</v>
      </c>
      <c r="C26" s="109">
        <v>-3029</v>
      </c>
    </row>
    <row r="27" spans="2:5" ht="14.4" hidden="1" thickBot="1">
      <c r="B27" t="s">
        <v>48</v>
      </c>
      <c r="C27" s="109">
        <v>-27524.5</v>
      </c>
    </row>
    <row r="28" spans="2:5" ht="24" hidden="1" customHeight="1" thickBot="1">
      <c r="B28" s="44" t="s">
        <v>49</v>
      </c>
      <c r="C28" s="107">
        <f>SUM(C20:C27)</f>
        <v>163027.38</v>
      </c>
      <c r="E28" s="107">
        <f>C28+300000</f>
        <v>463027.38</v>
      </c>
    </row>
    <row r="29" spans="2:5" ht="31.5" hidden="1" customHeight="1">
      <c r="B29" t="s">
        <v>50</v>
      </c>
      <c r="C29" s="111">
        <f>-5918-12500-1294.81-259-3500</f>
        <v>-23471.81</v>
      </c>
    </row>
    <row r="30" spans="2:5" hidden="1">
      <c r="B30" t="s">
        <v>51</v>
      </c>
      <c r="C30" s="109">
        <v>-6312</v>
      </c>
      <c r="D30" t="s">
        <v>52</v>
      </c>
    </row>
    <row r="31" spans="2:5" hidden="1">
      <c r="B31" t="s">
        <v>53</v>
      </c>
      <c r="C31" s="109">
        <v>40500</v>
      </c>
      <c r="D31" t="s">
        <v>54</v>
      </c>
    </row>
    <row r="32" spans="2:5" hidden="1">
      <c r="B32" t="s">
        <v>55</v>
      </c>
      <c r="C32" s="109">
        <v>18000</v>
      </c>
      <c r="D32" t="s">
        <v>54</v>
      </c>
    </row>
    <row r="33" spans="2:5" hidden="1">
      <c r="B33" t="s">
        <v>56</v>
      </c>
      <c r="C33" s="109">
        <v>31500</v>
      </c>
      <c r="D33" t="s">
        <v>57</v>
      </c>
      <c r="E33" s="113" t="s">
        <v>58</v>
      </c>
    </row>
    <row r="34" spans="2:5" hidden="1">
      <c r="B34" t="s">
        <v>59</v>
      </c>
      <c r="C34" s="109">
        <v>18000</v>
      </c>
      <c r="D34" t="s">
        <v>54</v>
      </c>
    </row>
    <row r="35" spans="2:5" hidden="1">
      <c r="B35" t="s">
        <v>60</v>
      </c>
      <c r="C35" s="109">
        <v>54000</v>
      </c>
      <c r="D35" t="s">
        <v>54</v>
      </c>
    </row>
    <row r="36" spans="2:5" hidden="1">
      <c r="B36" t="s">
        <v>61</v>
      </c>
      <c r="C36" s="109">
        <v>13500</v>
      </c>
      <c r="D36" t="s">
        <v>62</v>
      </c>
    </row>
    <row r="37" spans="2:5" hidden="1">
      <c r="B37" t="s">
        <v>63</v>
      </c>
      <c r="C37" s="109">
        <v>-117625</v>
      </c>
    </row>
    <row r="38" spans="2:5" hidden="1">
      <c r="B38" t="s">
        <v>39</v>
      </c>
      <c r="C38" s="109">
        <f>-18750-6750-6750-1462.5</f>
        <v>-33712.5</v>
      </c>
    </row>
    <row r="39" spans="2:5" hidden="1">
      <c r="B39" t="s">
        <v>47</v>
      </c>
      <c r="C39" s="109">
        <f>-11017.27-1150.34</f>
        <v>-12167.61</v>
      </c>
    </row>
    <row r="40" spans="2:5" hidden="1">
      <c r="B40" t="s">
        <v>64</v>
      </c>
      <c r="C40" s="109">
        <v>-3376.25</v>
      </c>
    </row>
    <row r="41" spans="2:5" hidden="1">
      <c r="B41" t="s">
        <v>65</v>
      </c>
      <c r="C41" s="109">
        <v>-11625</v>
      </c>
    </row>
    <row r="42" spans="2:5" ht="14.4" hidden="1" thickBot="1">
      <c r="B42" t="s">
        <v>66</v>
      </c>
      <c r="C42">
        <v>3240.49</v>
      </c>
    </row>
    <row r="43" spans="2:5" ht="30.75" hidden="1" customHeight="1" thickBot="1">
      <c r="B43" s="44" t="s">
        <v>67</v>
      </c>
      <c r="C43" s="107">
        <f>SUM(C28:C42)</f>
        <v>133477.70000000001</v>
      </c>
      <c r="E43" s="107">
        <f>C43+300000</f>
        <v>433477.7</v>
      </c>
    </row>
    <row r="44" spans="2:5" ht="29.25" hidden="1" customHeight="1">
      <c r="B44" t="s">
        <v>68</v>
      </c>
      <c r="C44" s="111">
        <f>-13125-79875-9000</f>
        <v>-102000</v>
      </c>
    </row>
    <row r="45" spans="2:5" hidden="1">
      <c r="B45" t="s">
        <v>69</v>
      </c>
      <c r="C45" s="109">
        <v>-18286.02</v>
      </c>
    </row>
    <row r="46" spans="2:5" hidden="1">
      <c r="B46" t="s">
        <v>70</v>
      </c>
      <c r="C46" s="109">
        <v>-3623.75</v>
      </c>
    </row>
    <row r="47" spans="2:5" hidden="1">
      <c r="B47" t="s">
        <v>71</v>
      </c>
      <c r="C47" s="109">
        <v>88678</v>
      </c>
    </row>
    <row r="48" spans="2:5" hidden="1">
      <c r="B48" t="s">
        <v>72</v>
      </c>
      <c r="C48" s="109">
        <v>-20825</v>
      </c>
    </row>
    <row r="49" spans="2:6" hidden="1">
      <c r="B49" t="s">
        <v>73</v>
      </c>
      <c r="C49" s="109">
        <v>-2125</v>
      </c>
    </row>
    <row r="50" spans="2:6" hidden="1">
      <c r="B50" t="s">
        <v>74</v>
      </c>
      <c r="C50" s="109">
        <v>-877.94</v>
      </c>
    </row>
    <row r="51" spans="2:6" hidden="1">
      <c r="B51" t="s">
        <v>75</v>
      </c>
      <c r="C51" s="109">
        <v>-3000</v>
      </c>
    </row>
    <row r="52" spans="2:6" hidden="1">
      <c r="B52" t="s">
        <v>76</v>
      </c>
      <c r="C52" s="109">
        <v>-15000</v>
      </c>
    </row>
    <row r="53" spans="2:6" ht="14.4" hidden="1" thickBot="1">
      <c r="B53" t="s">
        <v>77</v>
      </c>
      <c r="C53" s="109">
        <v>11626.97</v>
      </c>
    </row>
    <row r="54" spans="2:6" ht="30.75" hidden="1" customHeight="1" thickBot="1">
      <c r="B54" s="44" t="s">
        <v>78</v>
      </c>
      <c r="C54" s="107">
        <f>SUM(C43:C53)</f>
        <v>68044.960000000006</v>
      </c>
      <c r="E54" s="107">
        <f>C54+300000</f>
        <v>368044.96</v>
      </c>
      <c r="F54" s="107">
        <v>300000</v>
      </c>
    </row>
    <row r="55" spans="2:6" ht="28.5" hidden="1" customHeight="1">
      <c r="B55" t="s">
        <v>79</v>
      </c>
      <c r="C55" s="111">
        <v>-40850</v>
      </c>
    </row>
    <row r="56" spans="2:6" hidden="1">
      <c r="B56" t="s">
        <v>71</v>
      </c>
      <c r="C56" s="109">
        <v>30678</v>
      </c>
    </row>
    <row r="57" spans="2:6" hidden="1">
      <c r="B57" t="s">
        <v>80</v>
      </c>
      <c r="C57" s="109">
        <v>13500</v>
      </c>
    </row>
    <row r="58" spans="2:6" hidden="1">
      <c r="B58" t="s">
        <v>81</v>
      </c>
      <c r="C58" s="131">
        <v>-4950</v>
      </c>
    </row>
    <row r="59" spans="2:6" ht="14.4" hidden="1" thickBot="1">
      <c r="B59" t="s">
        <v>82</v>
      </c>
      <c r="C59" s="131">
        <v>5394.93</v>
      </c>
      <c r="F59" s="157" t="s">
        <v>30</v>
      </c>
    </row>
    <row r="60" spans="2:6" ht="30.75" hidden="1" customHeight="1" thickBot="1">
      <c r="B60" s="44" t="s">
        <v>83</v>
      </c>
      <c r="C60" s="107">
        <f>SUM(C54:C59)</f>
        <v>71817.890000000014</v>
      </c>
      <c r="E60" s="107">
        <f>C60+300000</f>
        <v>371817.89</v>
      </c>
      <c r="F60" s="107">
        <v>300000</v>
      </c>
    </row>
    <row r="61" spans="2:6" ht="27.75" hidden="1" customHeight="1"/>
    <row r="62" spans="2:6" hidden="1">
      <c r="B62" t="s">
        <v>84</v>
      </c>
      <c r="C62" s="111">
        <v>-14000</v>
      </c>
    </row>
    <row r="63" spans="2:6" hidden="1">
      <c r="B63" t="s">
        <v>85</v>
      </c>
      <c r="C63" s="105">
        <v>27000</v>
      </c>
    </row>
    <row r="64" spans="2:6" hidden="1">
      <c r="B64" t="s">
        <v>86</v>
      </c>
      <c r="C64" s="105">
        <v>36000</v>
      </c>
    </row>
    <row r="65" spans="2:6" hidden="1">
      <c r="B65" t="s">
        <v>87</v>
      </c>
      <c r="C65" s="105">
        <v>-7500</v>
      </c>
    </row>
    <row r="66" spans="2:6" hidden="1">
      <c r="B66" t="s">
        <v>88</v>
      </c>
      <c r="C66" s="105">
        <v>-7500</v>
      </c>
    </row>
    <row r="67" spans="2:6" hidden="1">
      <c r="B67" t="s">
        <v>89</v>
      </c>
      <c r="C67" s="109">
        <v>-944</v>
      </c>
    </row>
    <row r="68" spans="2:6" ht="14.4" hidden="1" thickBot="1">
      <c r="B68" s="158" t="s">
        <v>90</v>
      </c>
      <c r="C68" s="147">
        <v>-25401.83</v>
      </c>
      <c r="E68" s="148"/>
      <c r="F68" s="157" t="s">
        <v>30</v>
      </c>
    </row>
    <row r="69" spans="2:6" ht="30.75" hidden="1" customHeight="1" thickBot="1">
      <c r="B69" s="44" t="s">
        <v>257</v>
      </c>
      <c r="C69" s="107">
        <f>E60-F60+SUM(C62:C68)</f>
        <v>79472.060000000012</v>
      </c>
      <c r="E69" s="107">
        <f>C69+298509</f>
        <v>377981.06</v>
      </c>
      <c r="F69" s="107">
        <v>280317</v>
      </c>
    </row>
    <row r="70" spans="2:6" ht="27.75" hidden="1" customHeight="1"/>
    <row r="71" spans="2:6" hidden="1">
      <c r="B71" t="s">
        <v>91</v>
      </c>
      <c r="C71" s="111">
        <v>0</v>
      </c>
    </row>
    <row r="72" spans="2:6" hidden="1">
      <c r="B72" t="s">
        <v>92</v>
      </c>
      <c r="C72" s="105">
        <v>12000</v>
      </c>
    </row>
    <row r="73" spans="2:6" hidden="1">
      <c r="B73" t="s">
        <v>93</v>
      </c>
      <c r="C73" s="109">
        <v>-6496</v>
      </c>
    </row>
    <row r="74" spans="2:6" hidden="1">
      <c r="B74" s="158" t="s">
        <v>94</v>
      </c>
      <c r="C74" s="109">
        <v>-11596</v>
      </c>
      <c r="E74" s="148"/>
      <c r="F74" s="157"/>
    </row>
    <row r="75" spans="2:6" ht="14.4" hidden="1" thickBot="1">
      <c r="B75" s="158" t="s">
        <v>95</v>
      </c>
      <c r="C75" s="109">
        <f>19783.51-4975</f>
        <v>14808.509999999998</v>
      </c>
      <c r="E75" s="148"/>
      <c r="F75" s="157" t="s">
        <v>30</v>
      </c>
    </row>
    <row r="76" spans="2:6" ht="30.75" hidden="1" customHeight="1" thickBot="1">
      <c r="B76" s="44" t="s">
        <v>258</v>
      </c>
      <c r="C76" s="107">
        <f>E69-F69+SUM(C71:C75)</f>
        <v>106380.56999999999</v>
      </c>
      <c r="E76" s="107">
        <f>C76+F76</f>
        <v>306380.57</v>
      </c>
      <c r="F76" s="107">
        <v>200000</v>
      </c>
    </row>
    <row r="77" spans="2:6" ht="27.75" hidden="1" customHeight="1"/>
    <row r="78" spans="2:6" hidden="1">
      <c r="B78" t="s">
        <v>96</v>
      </c>
      <c r="C78" s="111">
        <v>-29950</v>
      </c>
    </row>
    <row r="79" spans="2:6" hidden="1">
      <c r="B79" t="s">
        <v>92</v>
      </c>
      <c r="C79" s="105">
        <v>6000</v>
      </c>
    </row>
    <row r="80" spans="2:6" hidden="1">
      <c r="B80" t="s">
        <v>97</v>
      </c>
      <c r="C80" s="109">
        <v>0</v>
      </c>
    </row>
    <row r="81" spans="2:6" ht="14.4" hidden="1" thickBot="1">
      <c r="B81" t="s">
        <v>252</v>
      </c>
      <c r="C81" s="109">
        <v>33048.75</v>
      </c>
      <c r="E81" s="148"/>
      <c r="F81" s="157" t="s">
        <v>30</v>
      </c>
    </row>
    <row r="82" spans="2:6" ht="30.75" hidden="1" customHeight="1" thickBot="1">
      <c r="B82" s="44" t="s">
        <v>259</v>
      </c>
      <c r="C82" s="107">
        <f>SUM(C76:C81)</f>
        <v>115479.31999999999</v>
      </c>
      <c r="E82" s="107">
        <f>C82+F82</f>
        <v>315479.32</v>
      </c>
      <c r="F82" s="107">
        <v>200000</v>
      </c>
    </row>
    <row r="83" spans="2:6" ht="27.75" hidden="1" customHeight="1"/>
    <row r="84" spans="2:6" hidden="1">
      <c r="B84" s="198" t="s">
        <v>255</v>
      </c>
      <c r="C84" s="111">
        <v>-32500</v>
      </c>
    </row>
    <row r="85" spans="2:6" hidden="1">
      <c r="B85" s="198" t="s">
        <v>256</v>
      </c>
      <c r="C85" s="199">
        <v>-2300.44</v>
      </c>
    </row>
    <row r="86" spans="2:6" hidden="1">
      <c r="B86" t="s">
        <v>260</v>
      </c>
      <c r="C86" s="199">
        <f>-12000+0</f>
        <v>-12000</v>
      </c>
    </row>
    <row r="87" spans="2:6" hidden="1">
      <c r="B87" t="s">
        <v>254</v>
      </c>
      <c r="C87" s="105">
        <v>0</v>
      </c>
    </row>
    <row r="88" spans="2:6" hidden="1">
      <c r="B88" s="158" t="s">
        <v>98</v>
      </c>
      <c r="C88" s="109">
        <v>0</v>
      </c>
    </row>
    <row r="89" spans="2:6" hidden="1">
      <c r="B89" t="s">
        <v>270</v>
      </c>
      <c r="C89" s="109">
        <f>76561.19-68678.88</f>
        <v>7882.3099999999977</v>
      </c>
    </row>
    <row r="90" spans="2:6" ht="14.4" hidden="1" thickBot="1">
      <c r="B90" s="158"/>
      <c r="C90" s="109">
        <v>0</v>
      </c>
      <c r="E90" s="148"/>
      <c r="F90" s="157" t="s">
        <v>30</v>
      </c>
    </row>
    <row r="91" spans="2:6" ht="30.75" hidden="1" customHeight="1" thickBot="1">
      <c r="B91" s="44" t="s">
        <v>275</v>
      </c>
      <c r="C91" s="107">
        <f>SUM(C82:C90)</f>
        <v>76561.189999999988</v>
      </c>
      <c r="E91" s="107">
        <f>C91+F91</f>
        <v>300561.19</v>
      </c>
      <c r="F91" s="107">
        <v>224000</v>
      </c>
    </row>
    <row r="92" spans="2:6" ht="27.75" hidden="1" customHeight="1"/>
    <row r="93" spans="2:6" hidden="1">
      <c r="B93" t="s">
        <v>253</v>
      </c>
      <c r="C93" s="111">
        <v>-15000</v>
      </c>
    </row>
    <row r="94" spans="2:6" hidden="1">
      <c r="B94" s="158" t="s">
        <v>281</v>
      </c>
      <c r="C94" s="111">
        <v>-26950</v>
      </c>
    </row>
    <row r="95" spans="2:6" hidden="1">
      <c r="C95" s="109">
        <v>0</v>
      </c>
    </row>
    <row r="96" spans="2:6" ht="14.4" hidden="1" thickBot="1">
      <c r="B96" t="s">
        <v>272</v>
      </c>
      <c r="C96" s="109">
        <v>35676.6</v>
      </c>
      <c r="E96" s="148"/>
      <c r="F96" s="157" t="s">
        <v>30</v>
      </c>
    </row>
    <row r="97" spans="2:6" ht="30.75" hidden="1" customHeight="1" thickBot="1">
      <c r="B97" s="44" t="s">
        <v>276</v>
      </c>
      <c r="C97" s="107">
        <f>SUM(C91:C96)</f>
        <v>70287.789999999979</v>
      </c>
      <c r="E97" s="107">
        <f>C97+F97</f>
        <v>294287.78999999998</v>
      </c>
      <c r="F97" s="107">
        <v>224000</v>
      </c>
    </row>
    <row r="98" spans="2:6" ht="27.75" hidden="1" customHeight="1"/>
    <row r="99" spans="2:6" hidden="1">
      <c r="B99" s="158" t="s">
        <v>274</v>
      </c>
      <c r="C99" s="111">
        <v>0</v>
      </c>
    </row>
    <row r="100" spans="2:6" hidden="1">
      <c r="B100" s="158" t="s">
        <v>278</v>
      </c>
      <c r="C100" s="109">
        <v>-7356.78</v>
      </c>
    </row>
    <row r="101" spans="2:6" ht="14.4" hidden="1" thickBot="1">
      <c r="B101" s="158"/>
      <c r="C101" s="109">
        <v>0</v>
      </c>
      <c r="E101" s="148"/>
      <c r="F101" s="157" t="s">
        <v>30</v>
      </c>
    </row>
    <row r="102" spans="2:6" ht="30" hidden="1" customHeight="1" thickBot="1">
      <c r="B102" s="44" t="s">
        <v>277</v>
      </c>
      <c r="C102" s="107">
        <f>SUM(C97:C101)</f>
        <v>62931.00999999998</v>
      </c>
      <c r="E102" s="107">
        <f>C102+F102</f>
        <v>286931.01</v>
      </c>
      <c r="F102" s="107">
        <v>224000</v>
      </c>
    </row>
    <row r="103" spans="2:6" ht="27.75" hidden="1" customHeight="1"/>
    <row r="104" spans="2:6" hidden="1">
      <c r="B104" s="158" t="s">
        <v>279</v>
      </c>
      <c r="C104" s="234">
        <v>0</v>
      </c>
    </row>
    <row r="105" spans="2:6" hidden="1">
      <c r="B105" s="158" t="s">
        <v>288</v>
      </c>
      <c r="C105" s="111">
        <v>0</v>
      </c>
      <c r="F105" s="223">
        <v>35990</v>
      </c>
    </row>
    <row r="106" spans="2:6" hidden="1">
      <c r="B106" s="158" t="s">
        <v>280</v>
      </c>
      <c r="C106" s="109">
        <v>25924.240000000002</v>
      </c>
    </row>
    <row r="107" spans="2:6" ht="14.4" hidden="1" thickBot="1">
      <c r="B107" s="158"/>
      <c r="C107" s="109">
        <v>0</v>
      </c>
      <c r="E107" s="148"/>
      <c r="F107" s="157" t="s">
        <v>30</v>
      </c>
    </row>
    <row r="108" spans="2:6" ht="30.75" hidden="1" customHeight="1" thickBot="1">
      <c r="B108" s="44" t="s">
        <v>286</v>
      </c>
      <c r="C108" s="107">
        <f>SUM(C102:C107)</f>
        <v>88855.249999999985</v>
      </c>
      <c r="E108" s="107">
        <f>C108+F108</f>
        <v>348845.25</v>
      </c>
      <c r="F108" s="107">
        <f>224000+35990</f>
        <v>259990</v>
      </c>
    </row>
    <row r="109" spans="2:6" ht="27" hidden="1" customHeight="1"/>
    <row r="110" spans="2:6" hidden="1">
      <c r="B110" s="158" t="s">
        <v>282</v>
      </c>
      <c r="C110" s="111">
        <v>35990</v>
      </c>
    </row>
    <row r="111" spans="2:6" hidden="1">
      <c r="B111" s="158" t="s">
        <v>287</v>
      </c>
      <c r="C111" s="111">
        <v>0</v>
      </c>
    </row>
    <row r="112" spans="2:6" hidden="1">
      <c r="B112" s="158" t="s">
        <v>283</v>
      </c>
      <c r="C112" s="109">
        <v>28913.82</v>
      </c>
    </row>
    <row r="113" spans="2:6" ht="14.4" hidden="1" thickBot="1">
      <c r="B113" s="158"/>
      <c r="C113" s="109">
        <v>0</v>
      </c>
      <c r="E113" s="148"/>
      <c r="F113" s="157" t="s">
        <v>30</v>
      </c>
    </row>
    <row r="114" spans="2:6" ht="30.75" hidden="1" customHeight="1" thickBot="1">
      <c r="B114" s="44" t="s">
        <v>309</v>
      </c>
      <c r="C114" s="247">
        <f>SUM(C108:C113)</f>
        <v>153759.06999999998</v>
      </c>
      <c r="E114" s="248">
        <f>C114+F114</f>
        <v>377759.06999999995</v>
      </c>
      <c r="F114" s="247">
        <v>224000</v>
      </c>
    </row>
    <row r="115" spans="2:6" ht="27" hidden="1" customHeight="1"/>
    <row r="116" spans="2:6" hidden="1">
      <c r="B116" s="158" t="s">
        <v>328</v>
      </c>
      <c r="C116" s="111">
        <v>-20500</v>
      </c>
    </row>
    <row r="117" spans="2:6" hidden="1">
      <c r="B117" s="158" t="s">
        <v>304</v>
      </c>
      <c r="C117" s="111">
        <v>-2500</v>
      </c>
    </row>
    <row r="118" spans="2:6" hidden="1">
      <c r="B118" s="158" t="s">
        <v>303</v>
      </c>
      <c r="C118" s="109">
        <v>-17948.490000000002</v>
      </c>
    </row>
    <row r="119" spans="2:6" ht="14.4" hidden="1" thickBot="1">
      <c r="B119" s="158"/>
      <c r="C119" s="109">
        <v>0</v>
      </c>
      <c r="E119" s="148"/>
      <c r="F119" s="157" t="s">
        <v>30</v>
      </c>
    </row>
    <row r="120" spans="2:6" ht="30.75" hidden="1" customHeight="1" thickBot="1">
      <c r="B120" s="44" t="s">
        <v>308</v>
      </c>
      <c r="C120" s="249">
        <f>SUM(C114:C119)</f>
        <v>112810.57999999997</v>
      </c>
      <c r="E120" s="250">
        <f>C120+F120</f>
        <v>336810.57999999996</v>
      </c>
      <c r="F120" s="249">
        <v>224000</v>
      </c>
    </row>
    <row r="121" spans="2:6" hidden="1"/>
    <row r="122" spans="2:6" hidden="1">
      <c r="B122" s="158" t="s">
        <v>307</v>
      </c>
      <c r="C122" s="111">
        <v>-65000</v>
      </c>
    </row>
    <row r="123" spans="2:6" hidden="1">
      <c r="B123" s="158" t="s">
        <v>289</v>
      </c>
      <c r="C123" s="111"/>
    </row>
    <row r="124" spans="2:6" hidden="1">
      <c r="B124" s="158" t="s">
        <v>290</v>
      </c>
      <c r="C124" s="109">
        <v>102937.97</v>
      </c>
    </row>
    <row r="125" spans="2:6" ht="14.4" hidden="1" thickBot="1">
      <c r="B125" s="158"/>
      <c r="C125" s="109">
        <v>0</v>
      </c>
      <c r="E125" s="148"/>
      <c r="F125" s="157" t="s">
        <v>30</v>
      </c>
    </row>
    <row r="126" spans="2:6" ht="14.4" thickBot="1">
      <c r="B126" s="44" t="s">
        <v>331</v>
      </c>
      <c r="C126" s="253">
        <f>SUM(C120:C125)</f>
        <v>150748.54999999999</v>
      </c>
      <c r="E126" s="278">
        <f>C126+F126</f>
        <v>374748.55</v>
      </c>
      <c r="F126" s="253">
        <v>224000</v>
      </c>
    </row>
    <row r="128" spans="2:6">
      <c r="B128" s="158" t="s">
        <v>306</v>
      </c>
      <c r="C128" s="111">
        <v>-65000</v>
      </c>
    </row>
    <row r="129" spans="2:12">
      <c r="B129" s="158" t="s">
        <v>301</v>
      </c>
      <c r="C129" s="111">
        <v>0</v>
      </c>
    </row>
    <row r="130" spans="2:12">
      <c r="B130" s="158" t="s">
        <v>325</v>
      </c>
      <c r="C130" s="111">
        <v>76033.48</v>
      </c>
    </row>
    <row r="131" spans="2:12">
      <c r="B131" s="158" t="s">
        <v>302</v>
      </c>
      <c r="C131" s="109">
        <f>399901.27-390782.03</f>
        <v>9119.2399999999907</v>
      </c>
    </row>
    <row r="132" spans="2:12" ht="14.4" thickBot="1">
      <c r="B132" s="158"/>
      <c r="C132" s="109">
        <v>0</v>
      </c>
      <c r="E132" s="282" t="s">
        <v>333</v>
      </c>
      <c r="F132" s="283" t="s">
        <v>334</v>
      </c>
      <c r="L132" s="158" t="s">
        <v>344</v>
      </c>
    </row>
    <row r="133" spans="2:12" ht="14.4" thickBot="1">
      <c r="B133" s="44" t="s">
        <v>332</v>
      </c>
      <c r="C133" s="253">
        <f>SUM(C126:C132)</f>
        <v>170901.26999999996</v>
      </c>
      <c r="E133" s="278">
        <f>C133+F133</f>
        <v>394901.26999999996</v>
      </c>
      <c r="F133" s="253">
        <v>224000</v>
      </c>
    </row>
    <row r="135" spans="2:12">
      <c r="B135" s="158" t="s">
        <v>305</v>
      </c>
      <c r="C135" s="111">
        <v>-60000</v>
      </c>
    </row>
    <row r="136" spans="2:12">
      <c r="B136" s="158" t="s">
        <v>326</v>
      </c>
      <c r="C136" s="111">
        <v>0</v>
      </c>
    </row>
    <row r="137" spans="2:12">
      <c r="B137" s="158" t="s">
        <v>327</v>
      </c>
      <c r="C137" s="111">
        <v>0</v>
      </c>
    </row>
    <row r="138" spans="2:12">
      <c r="B138" s="158" t="s">
        <v>324</v>
      </c>
      <c r="C138" s="111">
        <v>10394.68</v>
      </c>
    </row>
    <row r="139" spans="2:12" ht="14.4" thickBot="1">
      <c r="B139" s="158"/>
      <c r="C139" s="109">
        <v>0</v>
      </c>
      <c r="E139" s="282" t="s">
        <v>333</v>
      </c>
      <c r="F139" s="283" t="s">
        <v>334</v>
      </c>
    </row>
    <row r="140" spans="2:12" ht="14.4" thickBot="1">
      <c r="B140" s="44" t="s">
        <v>341</v>
      </c>
      <c r="C140" s="251">
        <f>SUM(C133:C139)</f>
        <v>121295.94999999995</v>
      </c>
      <c r="E140" s="252">
        <f>C140+F140</f>
        <v>345295.94999999995</v>
      </c>
      <c r="F140" s="251">
        <v>224000</v>
      </c>
    </row>
    <row r="142" spans="2:12">
      <c r="B142" s="158" t="s">
        <v>323</v>
      </c>
      <c r="C142" s="111">
        <v>-65100</v>
      </c>
    </row>
    <row r="143" spans="2:12">
      <c r="B143" s="158" t="s">
        <v>329</v>
      </c>
      <c r="C143" s="111">
        <f>'2026 Preliminary budget'!E55*-1</f>
        <v>0</v>
      </c>
    </row>
    <row r="144" spans="2:12">
      <c r="B144" s="158" t="s">
        <v>378</v>
      </c>
      <c r="C144" s="111">
        <v>15021</v>
      </c>
    </row>
    <row r="145" spans="2:6">
      <c r="B145" s="158" t="s">
        <v>330</v>
      </c>
      <c r="C145" s="111">
        <v>36486.29</v>
      </c>
    </row>
    <row r="146" spans="2:6" ht="14.4" thickBot="1">
      <c r="B146" s="158"/>
      <c r="C146" s="109">
        <v>0</v>
      </c>
      <c r="E146" s="282" t="s">
        <v>333</v>
      </c>
      <c r="F146" s="283" t="s">
        <v>334</v>
      </c>
    </row>
    <row r="147" spans="2:6" ht="14.4" thickBot="1">
      <c r="B147" s="44" t="s">
        <v>425</v>
      </c>
      <c r="C147" s="251">
        <f>SUM(C140:C146)</f>
        <v>107703.23999999996</v>
      </c>
      <c r="E147" s="252">
        <f>C147+F147</f>
        <v>331703.24</v>
      </c>
      <c r="F147" s="251">
        <v>224000</v>
      </c>
    </row>
    <row r="149" spans="2:6">
      <c r="B149" s="158" t="s">
        <v>394</v>
      </c>
      <c r="C149" s="290">
        <v>-20000</v>
      </c>
    </row>
    <row r="150" spans="2:6">
      <c r="B150" s="158" t="s">
        <v>346</v>
      </c>
      <c r="C150" s="111">
        <v>-2400</v>
      </c>
    </row>
    <row r="151" spans="2:6">
      <c r="B151" s="158" t="s">
        <v>383</v>
      </c>
      <c r="C151" s="111">
        <v>16782</v>
      </c>
    </row>
    <row r="152" spans="2:6">
      <c r="B152" s="158" t="s">
        <v>347</v>
      </c>
      <c r="C152" s="301">
        <v>-13055.55</v>
      </c>
    </row>
    <row r="153" spans="2:6" ht="14.4" thickBot="1">
      <c r="B153" s="158"/>
      <c r="C153" s="109">
        <v>0</v>
      </c>
      <c r="E153" s="282" t="s">
        <v>333</v>
      </c>
      <c r="F153" s="283" t="s">
        <v>334</v>
      </c>
    </row>
    <row r="154" spans="2:6" ht="14.4" thickBot="1">
      <c r="B154" s="44" t="s">
        <v>426</v>
      </c>
      <c r="C154" s="251">
        <f>SUM(C147:C153)</f>
        <v>89029.689999999959</v>
      </c>
      <c r="E154" s="252">
        <f>C154+F154</f>
        <v>313029.68999999994</v>
      </c>
      <c r="F154" s="251">
        <v>224000</v>
      </c>
    </row>
    <row r="156" spans="2:6">
      <c r="B156" s="158" t="s">
        <v>400</v>
      </c>
      <c r="C156" s="111">
        <v>-20000</v>
      </c>
    </row>
    <row r="157" spans="2:6">
      <c r="B157" s="158" t="s">
        <v>395</v>
      </c>
      <c r="C157" s="290">
        <v>-11700</v>
      </c>
    </row>
    <row r="158" spans="2:6">
      <c r="B158" s="158" t="s">
        <v>327</v>
      </c>
      <c r="C158" s="111">
        <v>0</v>
      </c>
    </row>
    <row r="159" spans="2:6">
      <c r="B159" s="158" t="s">
        <v>381</v>
      </c>
      <c r="C159" s="108">
        <v>0</v>
      </c>
    </row>
    <row r="160" spans="2:6" ht="14.4" thickBot="1"/>
    <row r="161" spans="2:6" ht="14.4" thickBot="1">
      <c r="B161" s="44" t="s">
        <v>382</v>
      </c>
      <c r="C161" s="251">
        <f>SUM(C154:C160)</f>
        <v>57329.689999999959</v>
      </c>
      <c r="E161" s="252">
        <f>C161+F161</f>
        <v>281329.68999999994</v>
      </c>
      <c r="F161" s="251">
        <v>224000</v>
      </c>
    </row>
    <row r="163" spans="2:6">
      <c r="B163" s="158" t="s">
        <v>423</v>
      </c>
      <c r="C163" s="111"/>
    </row>
    <row r="164" spans="2:6">
      <c r="B164" s="158" t="s">
        <v>424</v>
      </c>
      <c r="C164" s="290"/>
    </row>
    <row r="165" spans="2:6">
      <c r="B165" s="158" t="s">
        <v>327</v>
      </c>
      <c r="C165" s="111">
        <v>0</v>
      </c>
    </row>
    <row r="166" spans="2:6">
      <c r="B166" s="158" t="s">
        <v>448</v>
      </c>
      <c r="C166" s="108">
        <v>0</v>
      </c>
    </row>
    <row r="167" spans="2:6" ht="14.4" thickBot="1"/>
    <row r="168" spans="2:6" ht="14.4" thickBot="1">
      <c r="B168" s="44" t="s">
        <v>427</v>
      </c>
      <c r="C168" s="251">
        <f>SUM(C161:C167)</f>
        <v>57329.689999999959</v>
      </c>
      <c r="E168" s="252">
        <f>C168+F168</f>
        <v>281329.68999999994</v>
      </c>
      <c r="F168" s="251">
        <v>224000</v>
      </c>
    </row>
  </sheetData>
  <phoneticPr fontId="0" type="noConversion"/>
  <printOptions horizontalCentered="1"/>
  <pageMargins left="0.36" right="0.35" top="0.98" bottom="0.6" header="0.47" footer="0.46"/>
  <pageSetup scale="78" orientation="portrait" horizontalDpi="4294967292" verticalDpi="4294967292" r:id="rId1"/>
  <headerFooter>
    <oddHeader>&amp;C2025 Approved MORE Budget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141"/>
  <sheetViews>
    <sheetView showRuler="0" zoomScaleNormal="100" workbookViewId="0"/>
  </sheetViews>
  <sheetFormatPr defaultColWidth="8.69921875" defaultRowHeight="13.8" outlineLevelRow="2"/>
  <cols>
    <col min="1" max="1" width="3.19921875" customWidth="1"/>
    <col min="2" max="2" width="1.3984375" customWidth="1"/>
    <col min="3" max="3" width="60.69921875" bestFit="1" customWidth="1"/>
    <col min="4" max="5" width="12.59765625" customWidth="1"/>
    <col min="6" max="6" width="9.5" customWidth="1"/>
    <col min="7" max="7" width="12.69921875" customWidth="1"/>
    <col min="8" max="8" width="10.8984375" customWidth="1"/>
    <col min="9" max="9" width="10.8984375" hidden="1" customWidth="1"/>
    <col min="10" max="11" width="10.59765625" customWidth="1"/>
  </cols>
  <sheetData>
    <row r="1" spans="1:12">
      <c r="A1" s="1" t="s">
        <v>428</v>
      </c>
    </row>
    <row r="2" spans="1:12">
      <c r="A2" s="54" t="s">
        <v>429</v>
      </c>
    </row>
    <row r="3" spans="1:12" ht="14.4" thickBot="1">
      <c r="A3" s="303">
        <v>45783</v>
      </c>
      <c r="B3" s="303"/>
      <c r="C3" s="303"/>
    </row>
    <row r="4" spans="1:12" ht="14.4" thickBot="1">
      <c r="C4" s="56" t="s">
        <v>430</v>
      </c>
      <c r="D4" s="65">
        <f>'2026 Preliminary budget'!H43</f>
        <v>1274741.49</v>
      </c>
      <c r="E4" s="67"/>
      <c r="F4" s="68"/>
      <c r="G4" s="68"/>
    </row>
    <row r="5" spans="1:12" ht="14.4" thickBot="1">
      <c r="C5" s="56" t="s">
        <v>431</v>
      </c>
      <c r="D5" s="65">
        <f>'MORE Formula w 3-yr Avg ''22-''24'!F5</f>
        <v>48250</v>
      </c>
      <c r="E5" s="67"/>
      <c r="F5" s="68"/>
      <c r="G5" s="68"/>
    </row>
    <row r="6" spans="1:12" ht="14.4" thickBot="1">
      <c r="C6" s="56" t="s">
        <v>432</v>
      </c>
      <c r="D6" s="65">
        <f>D4-D5</f>
        <v>1226491.49</v>
      </c>
      <c r="E6" s="67"/>
      <c r="F6" s="68"/>
      <c r="G6" s="68"/>
      <c r="J6" s="302"/>
      <c r="K6" s="302"/>
    </row>
    <row r="7" spans="1:12">
      <c r="B7" s="104" t="s">
        <v>433</v>
      </c>
      <c r="C7" s="104"/>
      <c r="D7" s="58"/>
      <c r="E7" s="206">
        <f>'MORE Formula w 3-yr Avg ''22-''24'!M2</f>
        <v>1750</v>
      </c>
      <c r="F7" s="206"/>
      <c r="H7" s="59"/>
      <c r="J7" s="302" t="s">
        <v>99</v>
      </c>
      <c r="K7" s="302"/>
    </row>
    <row r="8" spans="1:12" ht="14.4" thickBot="1">
      <c r="B8" s="104" t="s">
        <v>434</v>
      </c>
      <c r="C8" s="104"/>
      <c r="D8" s="58"/>
      <c r="E8" s="206">
        <f>'MORE Formula w 3-yr Avg ''22-''24'!M3</f>
        <v>15000</v>
      </c>
      <c r="H8" s="59"/>
      <c r="J8" s="141" t="s">
        <v>100</v>
      </c>
      <c r="K8" s="141" t="s">
        <v>101</v>
      </c>
    </row>
    <row r="9" spans="1:12" ht="26.25" customHeight="1" thickBot="1">
      <c r="A9" s="104" t="s">
        <v>102</v>
      </c>
      <c r="C9" s="57"/>
      <c r="D9" s="58"/>
      <c r="E9" s="59"/>
      <c r="F9" s="59"/>
      <c r="G9" s="59"/>
      <c r="J9" s="140">
        <f>'MORE Formula w 3-yr Avg ''22-''24'!H5</f>
        <v>252963.15</v>
      </c>
      <c r="K9" s="140">
        <f>D6-J9</f>
        <v>973528.34</v>
      </c>
    </row>
    <row r="10" spans="1:12" ht="63" customHeight="1" thickBot="1">
      <c r="A10" s="55" t="s">
        <v>103</v>
      </c>
      <c r="B10" s="64"/>
      <c r="C10" s="159" t="s">
        <v>104</v>
      </c>
      <c r="D10" s="149" t="s">
        <v>267</v>
      </c>
      <c r="E10" s="160" t="s">
        <v>268</v>
      </c>
      <c r="F10" s="161" t="s">
        <v>273</v>
      </c>
      <c r="G10" s="241" t="s">
        <v>299</v>
      </c>
      <c r="H10" s="146" t="s">
        <v>435</v>
      </c>
      <c r="I10" s="160" t="s">
        <v>105</v>
      </c>
      <c r="J10" s="149" t="s">
        <v>436</v>
      </c>
      <c r="K10" s="150" t="s">
        <v>437</v>
      </c>
    </row>
    <row r="11" spans="1:12" ht="16.350000000000001" customHeight="1">
      <c r="A11" s="123">
        <v>1</v>
      </c>
      <c r="B11" s="49"/>
      <c r="C11" s="162" t="s">
        <v>106</v>
      </c>
      <c r="D11" s="163">
        <f>'MORE Formula w 3-yr Avg ''22-''24'!K9</f>
        <v>4.281123621809077E-2</v>
      </c>
      <c r="E11" s="164">
        <f>($D$6*D11)</f>
        <v>52507.616897868116</v>
      </c>
      <c r="F11" s="165">
        <f t="shared" ref="F11:F16" si="0">IF(E11&lt;($E$7*2),E11/2,$E$7)</f>
        <v>1750</v>
      </c>
      <c r="G11" s="167"/>
      <c r="H11" s="166">
        <f>E11-F11-G11</f>
        <v>50757.616897868116</v>
      </c>
      <c r="I11" s="167">
        <f>ROUND(D11*1000,0)</f>
        <v>43</v>
      </c>
      <c r="J11" s="168">
        <f>ROUND($J$9*D11,0)</f>
        <v>10830</v>
      </c>
      <c r="K11" s="168">
        <f>H11-J11</f>
        <v>39927.616897868116</v>
      </c>
      <c r="L11" t="s">
        <v>251</v>
      </c>
    </row>
    <row r="12" spans="1:12" ht="16.350000000000001" customHeight="1">
      <c r="A12" s="124">
        <v>2</v>
      </c>
      <c r="B12" s="48"/>
      <c r="C12" s="169" t="s">
        <v>107</v>
      </c>
      <c r="D12" s="163">
        <f>'MORE Formula w 3-yr Avg ''22-''24'!K12</f>
        <v>1.7791659595333117E-2</v>
      </c>
      <c r="E12" s="42">
        <f t="shared" ref="E12:E62" si="1">($D$6*D12)</f>
        <v>21821.319086652911</v>
      </c>
      <c r="F12" s="268">
        <f t="shared" si="0"/>
        <v>1750</v>
      </c>
      <c r="G12" s="242"/>
      <c r="H12" s="170">
        <f>E12-F12-G12</f>
        <v>20071.319086652911</v>
      </c>
      <c r="I12" s="142">
        <f t="shared" ref="I12:I57" si="2">ROUND(D12*1000,0)</f>
        <v>18</v>
      </c>
      <c r="J12" s="42">
        <f>ROUND($J$9*D12,0)</f>
        <v>4501</v>
      </c>
      <c r="K12" s="42">
        <f>H12-J12</f>
        <v>15570.319086652911</v>
      </c>
      <c r="L12" t="s">
        <v>251</v>
      </c>
    </row>
    <row r="13" spans="1:12" ht="16.350000000000001" customHeight="1">
      <c r="A13" s="124">
        <v>3</v>
      </c>
      <c r="B13" s="48"/>
      <c r="C13" s="169" t="s">
        <v>108</v>
      </c>
      <c r="D13" s="163">
        <f>'MORE Formula w 3-yr Avg ''22-''24'!K13</f>
        <v>8.0109819377305186E-3</v>
      </c>
      <c r="E13" s="42">
        <f t="shared" si="1"/>
        <v>9825.4011731701903</v>
      </c>
      <c r="F13" s="268">
        <f t="shared" si="0"/>
        <v>1750</v>
      </c>
      <c r="G13" s="242"/>
      <c r="H13" s="170">
        <f t="shared" ref="H13:H62" si="3">E13-F13-G13</f>
        <v>8075.4011731701903</v>
      </c>
      <c r="I13" s="142">
        <f t="shared" si="2"/>
        <v>8</v>
      </c>
      <c r="J13" s="42">
        <f t="shared" ref="J13:J62" si="4">ROUND($J$9*D13,0)</f>
        <v>2026</v>
      </c>
      <c r="K13" s="42">
        <f t="shared" ref="K13:K62" si="5">H13-J13</f>
        <v>6049.4011731701903</v>
      </c>
      <c r="L13" t="s">
        <v>251</v>
      </c>
    </row>
    <row r="14" spans="1:12" ht="16.350000000000001" customHeight="1">
      <c r="A14" s="124">
        <v>4</v>
      </c>
      <c r="B14" s="48"/>
      <c r="C14" s="169" t="s">
        <v>319</v>
      </c>
      <c r="D14" s="163">
        <f>'MORE Formula w 3-yr Avg ''22-''24'!K27</f>
        <v>4.7541488168506545E-3</v>
      </c>
      <c r="E14" s="42">
        <f>($D$6*D14)</f>
        <v>5830.9230660608964</v>
      </c>
      <c r="F14" s="268">
        <f>'MORE Formula w 3-yr Avg ''22-''24'!M27</f>
        <v>0</v>
      </c>
      <c r="G14" s="242"/>
      <c r="H14" s="170">
        <f>E14-F14-G14</f>
        <v>5830.9230660608964</v>
      </c>
      <c r="I14" s="284">
        <f>ROUND(D14*1000,0)</f>
        <v>5</v>
      </c>
      <c r="J14" s="42">
        <f>ROUND($J$9*D14,0)</f>
        <v>1203</v>
      </c>
      <c r="K14" s="42">
        <f>H14-J14</f>
        <v>4627.9230660608964</v>
      </c>
    </row>
    <row r="15" spans="1:12" ht="16.350000000000001" customHeight="1">
      <c r="A15" s="124">
        <v>5</v>
      </c>
      <c r="B15" s="48"/>
      <c r="C15" s="169" t="s">
        <v>109</v>
      </c>
      <c r="D15" s="163">
        <f>'MORE Formula w 3-yr Avg ''22-''24'!K28</f>
        <v>4.4463660278606489E-3</v>
      </c>
      <c r="E15" s="42">
        <f t="shared" si="1"/>
        <v>5453.4300945961886</v>
      </c>
      <c r="F15" s="268">
        <f t="shared" si="0"/>
        <v>1750</v>
      </c>
      <c r="G15" s="242"/>
      <c r="H15" s="170">
        <f t="shared" si="3"/>
        <v>3703.4300945961886</v>
      </c>
      <c r="I15" s="142">
        <f t="shared" si="2"/>
        <v>4</v>
      </c>
      <c r="J15" s="42">
        <f t="shared" si="4"/>
        <v>1125</v>
      </c>
      <c r="K15" s="42">
        <f t="shared" si="5"/>
        <v>2578.4300945961886</v>
      </c>
    </row>
    <row r="16" spans="1:12" ht="16.350000000000001" customHeight="1">
      <c r="A16" s="124">
        <v>6</v>
      </c>
      <c r="B16" s="48"/>
      <c r="C16" s="169" t="s">
        <v>110</v>
      </c>
      <c r="D16" s="163">
        <f>'MORE Formula w 3-yr Avg ''22-''24'!K29</f>
        <v>4.4074229862630637E-3</v>
      </c>
      <c r="E16" s="42">
        <f t="shared" si="1"/>
        <v>5405.6667854820344</v>
      </c>
      <c r="F16" s="268">
        <f t="shared" si="0"/>
        <v>1750</v>
      </c>
      <c r="G16" s="242"/>
      <c r="H16" s="170">
        <f t="shared" si="3"/>
        <v>3655.6667854820344</v>
      </c>
      <c r="I16" s="142">
        <f t="shared" si="2"/>
        <v>4</v>
      </c>
      <c r="J16" s="42">
        <f t="shared" si="4"/>
        <v>1115</v>
      </c>
      <c r="K16" s="42">
        <f t="shared" si="5"/>
        <v>2540.6667854820344</v>
      </c>
    </row>
    <row r="17" spans="1:12" ht="16.350000000000001" customHeight="1">
      <c r="A17" s="124">
        <v>7</v>
      </c>
      <c r="B17" s="48"/>
      <c r="C17" s="169" t="s">
        <v>111</v>
      </c>
      <c r="D17" s="163">
        <f>'MORE Formula w 3-yr Avg ''22-''24'!K32</f>
        <v>1.8305442223683077E-2</v>
      </c>
      <c r="E17" s="42">
        <f t="shared" si="1"/>
        <v>22451.469108033969</v>
      </c>
      <c r="F17" s="268">
        <f t="shared" ref="F17:F62" si="6">IF(E17&lt;($E$7*2),E17/2,$E$7)</f>
        <v>1750</v>
      </c>
      <c r="G17" s="242"/>
      <c r="H17" s="170">
        <f t="shared" si="3"/>
        <v>20701.469108033969</v>
      </c>
      <c r="I17" s="142">
        <f t="shared" si="2"/>
        <v>18</v>
      </c>
      <c r="J17" s="42">
        <f t="shared" si="4"/>
        <v>4631</v>
      </c>
      <c r="K17" s="42">
        <f t="shared" si="5"/>
        <v>16070.469108033969</v>
      </c>
      <c r="L17" t="s">
        <v>251</v>
      </c>
    </row>
    <row r="18" spans="1:12" ht="16.350000000000001" customHeight="1">
      <c r="A18" s="124">
        <v>8</v>
      </c>
      <c r="B18" s="48"/>
      <c r="C18" s="169" t="s">
        <v>112</v>
      </c>
      <c r="D18" s="163">
        <f>'MORE Formula w 3-yr Avg ''22-''24'!K37</f>
        <v>4.4934959588849984E-3</v>
      </c>
      <c r="E18" s="42">
        <f t="shared" si="1"/>
        <v>5511.2345539218404</v>
      </c>
      <c r="F18" s="268">
        <f t="shared" si="6"/>
        <v>1750</v>
      </c>
      <c r="G18" s="242"/>
      <c r="H18" s="170">
        <f t="shared" si="3"/>
        <v>3761.2345539218404</v>
      </c>
      <c r="I18" s="142">
        <f t="shared" si="2"/>
        <v>4</v>
      </c>
      <c r="J18" s="42">
        <f t="shared" si="4"/>
        <v>1137</v>
      </c>
      <c r="K18" s="42">
        <f t="shared" si="5"/>
        <v>2624.2345539218404</v>
      </c>
    </row>
    <row r="19" spans="1:12" ht="16.350000000000001" customHeight="1">
      <c r="A19" s="124">
        <v>9</v>
      </c>
      <c r="B19" s="48"/>
      <c r="C19" s="169" t="s">
        <v>113</v>
      </c>
      <c r="D19" s="163">
        <f>'MORE Formula w 3-yr Avg ''22-''24'!K40</f>
        <v>5.2185888413582182E-2</v>
      </c>
      <c r="E19" s="42">
        <f t="shared" si="1"/>
        <v>64005.548037348148</v>
      </c>
      <c r="F19" s="268">
        <f t="shared" si="6"/>
        <v>1750</v>
      </c>
      <c r="G19" s="242"/>
      <c r="H19" s="170">
        <f t="shared" si="3"/>
        <v>62255.548037348148</v>
      </c>
      <c r="I19" s="142">
        <f t="shared" si="2"/>
        <v>52</v>
      </c>
      <c r="J19" s="42">
        <f t="shared" si="4"/>
        <v>13201</v>
      </c>
      <c r="K19" s="42">
        <f t="shared" si="5"/>
        <v>49054.548037348148</v>
      </c>
      <c r="L19" t="s">
        <v>251</v>
      </c>
    </row>
    <row r="20" spans="1:12" ht="16.350000000000001" customHeight="1">
      <c r="A20" s="124">
        <v>10</v>
      </c>
      <c r="B20" s="48"/>
      <c r="C20" s="169" t="s">
        <v>114</v>
      </c>
      <c r="D20" s="163">
        <f>'MORE Formula w 3-yr Avg ''22-''24'!K31</f>
        <v>0.16463392102660937</v>
      </c>
      <c r="E20" s="42">
        <f t="shared" si="1"/>
        <v>201922.10310446846</v>
      </c>
      <c r="F20" s="268">
        <f t="shared" si="6"/>
        <v>1750</v>
      </c>
      <c r="G20" s="242">
        <f>'MORE Formula w 3-yr Avg ''22-''24'!N31</f>
        <v>8431.2251650626258</v>
      </c>
      <c r="H20" s="170">
        <f t="shared" si="3"/>
        <v>191740.87793940585</v>
      </c>
      <c r="I20" s="142">
        <f t="shared" si="2"/>
        <v>165</v>
      </c>
      <c r="J20" s="42">
        <f t="shared" si="4"/>
        <v>41646</v>
      </c>
      <c r="K20" s="42">
        <f t="shared" si="5"/>
        <v>150094.87793940585</v>
      </c>
      <c r="L20" t="s">
        <v>251</v>
      </c>
    </row>
    <row r="21" spans="1:12" ht="16.350000000000001" customHeight="1">
      <c r="A21" s="124">
        <v>11</v>
      </c>
      <c r="B21" s="48"/>
      <c r="C21" s="169" t="s">
        <v>115</v>
      </c>
      <c r="D21" s="163">
        <f>'MORE Formula w 3-yr Avg ''22-''24'!K42</f>
        <v>7.9722601634147384E-3</v>
      </c>
      <c r="E21" s="42">
        <f t="shared" si="1"/>
        <v>9777.9092464941859</v>
      </c>
      <c r="F21" s="268">
        <f t="shared" si="6"/>
        <v>1750</v>
      </c>
      <c r="G21" s="242"/>
      <c r="H21" s="170">
        <f t="shared" si="3"/>
        <v>8027.9092464941859</v>
      </c>
      <c r="I21" s="142">
        <f t="shared" si="2"/>
        <v>8</v>
      </c>
      <c r="J21" s="42">
        <f t="shared" si="4"/>
        <v>2017</v>
      </c>
      <c r="K21" s="42">
        <f t="shared" si="5"/>
        <v>6010.9092464941859</v>
      </c>
    </row>
    <row r="22" spans="1:12" ht="16.350000000000001" customHeight="1">
      <c r="A22" s="124">
        <v>12</v>
      </c>
      <c r="B22" s="48"/>
      <c r="C22" s="169" t="s">
        <v>116</v>
      </c>
      <c r="D22" s="163">
        <f>'MORE Formula w 3-yr Avg ''22-''24'!K44</f>
        <v>7.6569542868433812E-3</v>
      </c>
      <c r="E22" s="42">
        <f t="shared" si="1"/>
        <v>9391.1892721324257</v>
      </c>
      <c r="F22" s="268">
        <f t="shared" si="6"/>
        <v>1750</v>
      </c>
      <c r="G22" s="242"/>
      <c r="H22" s="170">
        <f t="shared" si="3"/>
        <v>7641.1892721324257</v>
      </c>
      <c r="I22" s="142">
        <f t="shared" si="2"/>
        <v>8</v>
      </c>
      <c r="J22" s="42">
        <f t="shared" si="4"/>
        <v>1937</v>
      </c>
      <c r="K22" s="42">
        <f t="shared" si="5"/>
        <v>5704.1892721324257</v>
      </c>
    </row>
    <row r="23" spans="1:12" ht="16.350000000000001" customHeight="1">
      <c r="A23" s="124">
        <v>13</v>
      </c>
      <c r="B23" s="48"/>
      <c r="C23" s="169" t="s">
        <v>117</v>
      </c>
      <c r="D23" s="163">
        <f>'MORE Formula w 3-yr Avg ''22-''24'!K45</f>
        <v>4.8568610890642849E-2</v>
      </c>
      <c r="E23" s="42">
        <f t="shared" si="1"/>
        <v>59568.987938494778</v>
      </c>
      <c r="F23" s="268">
        <f t="shared" si="6"/>
        <v>1750</v>
      </c>
      <c r="G23" s="242"/>
      <c r="H23" s="170">
        <f t="shared" si="3"/>
        <v>57818.987938494778</v>
      </c>
      <c r="I23" s="142">
        <f t="shared" si="2"/>
        <v>49</v>
      </c>
      <c r="J23" s="42">
        <f t="shared" si="4"/>
        <v>12286</v>
      </c>
      <c r="K23" s="42">
        <f t="shared" si="5"/>
        <v>45532.987938494778</v>
      </c>
      <c r="L23" t="s">
        <v>251</v>
      </c>
    </row>
    <row r="24" spans="1:12" ht="16.350000000000001" customHeight="1">
      <c r="A24" s="124">
        <v>14</v>
      </c>
      <c r="B24" s="48"/>
      <c r="C24" s="169" t="s">
        <v>118</v>
      </c>
      <c r="D24" s="163">
        <f>'MORE Formula w 3-yr Avg ''22-''24'!K47</f>
        <v>1.7170119800744389E-2</v>
      </c>
      <c r="E24" s="42">
        <f t="shared" si="1"/>
        <v>21059.005817893489</v>
      </c>
      <c r="F24" s="268">
        <f t="shared" si="6"/>
        <v>1750</v>
      </c>
      <c r="G24" s="242"/>
      <c r="H24" s="170">
        <f t="shared" si="3"/>
        <v>19309.005817893489</v>
      </c>
      <c r="I24" s="142">
        <f t="shared" si="2"/>
        <v>17</v>
      </c>
      <c r="J24" s="42">
        <f t="shared" si="4"/>
        <v>4343</v>
      </c>
      <c r="K24" s="42">
        <f t="shared" si="5"/>
        <v>14966.005817893489</v>
      </c>
      <c r="L24" t="s">
        <v>251</v>
      </c>
    </row>
    <row r="25" spans="1:12" ht="16.350000000000001" customHeight="1">
      <c r="A25" s="124">
        <v>15</v>
      </c>
      <c r="B25" s="48"/>
      <c r="C25" s="169" t="s">
        <v>119</v>
      </c>
      <c r="D25" s="163">
        <f>'MORE Formula w 3-yr Avg ''22-''24'!K48</f>
        <v>2.0339331078029686E-2</v>
      </c>
      <c r="E25" s="42">
        <f t="shared" si="1"/>
        <v>24946.016479495935</v>
      </c>
      <c r="F25" s="268">
        <f t="shared" si="6"/>
        <v>1750</v>
      </c>
      <c r="G25" s="242"/>
      <c r="H25" s="170">
        <f t="shared" si="3"/>
        <v>23196.016479495935</v>
      </c>
      <c r="I25" s="142">
        <f t="shared" si="2"/>
        <v>20</v>
      </c>
      <c r="J25" s="42">
        <f t="shared" si="4"/>
        <v>5145</v>
      </c>
      <c r="K25" s="42">
        <f t="shared" si="5"/>
        <v>18051.016479495935</v>
      </c>
    </row>
    <row r="26" spans="1:12" ht="16.350000000000001" customHeight="1">
      <c r="A26" s="124">
        <v>16</v>
      </c>
      <c r="B26" s="48"/>
      <c r="C26" s="169" t="s">
        <v>120</v>
      </c>
      <c r="D26" s="163"/>
      <c r="E26" s="42">
        <f t="shared" si="1"/>
        <v>0</v>
      </c>
      <c r="F26" s="268">
        <f t="shared" si="6"/>
        <v>0</v>
      </c>
      <c r="G26" s="242"/>
      <c r="H26" s="170">
        <f t="shared" si="3"/>
        <v>0</v>
      </c>
      <c r="I26" s="142">
        <f t="shared" si="2"/>
        <v>0</v>
      </c>
      <c r="J26" s="42">
        <f t="shared" si="4"/>
        <v>0</v>
      </c>
      <c r="K26" s="42">
        <f t="shared" si="5"/>
        <v>0</v>
      </c>
    </row>
    <row r="27" spans="1:12" ht="16.350000000000001" customHeight="1">
      <c r="A27" s="124">
        <v>17</v>
      </c>
      <c r="B27" s="48"/>
      <c r="C27" s="169" t="s">
        <v>121</v>
      </c>
      <c r="D27" s="163">
        <f>'MORE Formula w 3-yr Avg ''22-''24'!K52</f>
        <v>1.5999837147280593E-2</v>
      </c>
      <c r="E27" s="42">
        <f t="shared" si="1"/>
        <v>19623.664102525523</v>
      </c>
      <c r="F27" s="268">
        <f t="shared" si="6"/>
        <v>1750</v>
      </c>
      <c r="G27" s="242"/>
      <c r="H27" s="170">
        <f t="shared" si="3"/>
        <v>17873.664102525523</v>
      </c>
      <c r="I27" s="142">
        <f t="shared" si="2"/>
        <v>16</v>
      </c>
      <c r="J27" s="42">
        <f t="shared" si="4"/>
        <v>4047</v>
      </c>
      <c r="K27" s="42">
        <f t="shared" si="5"/>
        <v>13826.664102525523</v>
      </c>
      <c r="L27" t="s">
        <v>251</v>
      </c>
    </row>
    <row r="28" spans="1:12" ht="16.350000000000001" customHeight="1">
      <c r="A28" s="124">
        <v>18</v>
      </c>
      <c r="B28" s="48"/>
      <c r="C28" s="169" t="s">
        <v>122</v>
      </c>
      <c r="D28" s="163">
        <f>'MORE Formula w 3-yr Avg ''22-''24'!K54</f>
        <v>6.218008899812609E-2</v>
      </c>
      <c r="E28" s="42">
        <f t="shared" si="1"/>
        <v>76263.350003644271</v>
      </c>
      <c r="F28" s="268">
        <f t="shared" si="6"/>
        <v>1750</v>
      </c>
      <c r="G28" s="242">
        <f>'MORE Formula w 3-yr Avg ''22-''24'!N54</f>
        <v>3184.363998972608</v>
      </c>
      <c r="H28" s="170">
        <f t="shared" si="3"/>
        <v>71328.986004671664</v>
      </c>
      <c r="I28" s="142">
        <f t="shared" si="2"/>
        <v>62</v>
      </c>
      <c r="J28" s="42">
        <f t="shared" si="4"/>
        <v>15729</v>
      </c>
      <c r="K28" s="42">
        <f t="shared" si="5"/>
        <v>55599.986004671664</v>
      </c>
      <c r="L28" t="s">
        <v>251</v>
      </c>
    </row>
    <row r="29" spans="1:12" ht="16.350000000000001" customHeight="1">
      <c r="A29" s="124">
        <v>19</v>
      </c>
      <c r="B29" s="48"/>
      <c r="C29" s="169" t="s">
        <v>123</v>
      </c>
      <c r="D29" s="163">
        <f>'MORE Formula w 3-yr Avg ''22-''24'!K57</f>
        <v>1.5256157813135798E-2</v>
      </c>
      <c r="E29" s="42">
        <f t="shared" si="1"/>
        <v>18711.547727908066</v>
      </c>
      <c r="F29" s="268">
        <f t="shared" si="6"/>
        <v>1750</v>
      </c>
      <c r="G29" s="242"/>
      <c r="H29" s="170">
        <f t="shared" si="3"/>
        <v>16961.547727908066</v>
      </c>
      <c r="I29" s="142">
        <f t="shared" si="2"/>
        <v>15</v>
      </c>
      <c r="J29" s="42">
        <f t="shared" si="4"/>
        <v>3859</v>
      </c>
      <c r="K29" s="42">
        <f t="shared" si="5"/>
        <v>13102.547727908066</v>
      </c>
      <c r="L29" s="158" t="s">
        <v>251</v>
      </c>
    </row>
    <row r="30" spans="1:12" ht="16.350000000000001" customHeight="1">
      <c r="A30" s="124">
        <v>20</v>
      </c>
      <c r="B30" s="48"/>
      <c r="C30" s="169" t="s">
        <v>124</v>
      </c>
      <c r="D30" s="163">
        <f>'MORE Formula w 3-yr Avg ''22-''24'!K62</f>
        <v>7.417985622494563E-3</v>
      </c>
      <c r="E30" s="42">
        <f t="shared" si="1"/>
        <v>9098.0962389319338</v>
      </c>
      <c r="F30" s="268">
        <f t="shared" si="6"/>
        <v>1750</v>
      </c>
      <c r="G30" s="242"/>
      <c r="H30" s="170">
        <f t="shared" si="3"/>
        <v>7348.0962389319338</v>
      </c>
      <c r="I30" s="142">
        <f t="shared" si="2"/>
        <v>7</v>
      </c>
      <c r="J30" s="42">
        <f t="shared" si="4"/>
        <v>1876</v>
      </c>
      <c r="K30" s="42">
        <f t="shared" si="5"/>
        <v>5472.0962389319338</v>
      </c>
    </row>
    <row r="31" spans="1:12" ht="16.350000000000001" customHeight="1">
      <c r="A31" s="124">
        <v>21</v>
      </c>
      <c r="B31" s="48"/>
      <c r="C31" s="169" t="s">
        <v>125</v>
      </c>
      <c r="D31" s="163">
        <f>'MORE Formula w 3-yr Avg ''22-''24'!K16</f>
        <v>7.4199770280308028E-3</v>
      </c>
      <c r="E31" s="42">
        <f t="shared" si="1"/>
        <v>9100.5386808752719</v>
      </c>
      <c r="F31" s="268">
        <f t="shared" si="6"/>
        <v>1750</v>
      </c>
      <c r="G31" s="242"/>
      <c r="H31" s="170">
        <f t="shared" si="3"/>
        <v>7350.5386808752719</v>
      </c>
      <c r="I31" s="142">
        <f t="shared" si="2"/>
        <v>7</v>
      </c>
      <c r="J31" s="42">
        <f t="shared" si="4"/>
        <v>1877</v>
      </c>
      <c r="K31" s="42">
        <f t="shared" si="5"/>
        <v>5473.5386808752719</v>
      </c>
    </row>
    <row r="32" spans="1:12" ht="16.350000000000001" customHeight="1">
      <c r="A32" s="124">
        <v>22</v>
      </c>
      <c r="B32" s="48"/>
      <c r="C32" s="169" t="s">
        <v>126</v>
      </c>
      <c r="D32" s="163">
        <f>'MORE Formula w 3-yr Avg ''22-''24'!K24</f>
        <v>9.3138036929951862E-3</v>
      </c>
      <c r="E32" s="42">
        <f t="shared" si="1"/>
        <v>11423.300968989168</v>
      </c>
      <c r="F32" s="268">
        <f t="shared" si="6"/>
        <v>1750</v>
      </c>
      <c r="G32" s="242"/>
      <c r="H32" s="170">
        <f t="shared" si="3"/>
        <v>9673.3009689891678</v>
      </c>
      <c r="I32" s="142">
        <f t="shared" si="2"/>
        <v>9</v>
      </c>
      <c r="J32" s="42">
        <f t="shared" si="4"/>
        <v>2356</v>
      </c>
      <c r="K32" s="42">
        <f t="shared" si="5"/>
        <v>7317.3009689891678</v>
      </c>
    </row>
    <row r="33" spans="1:12" ht="16.350000000000001" customHeight="1">
      <c r="A33" s="124">
        <v>23</v>
      </c>
      <c r="B33" s="48"/>
      <c r="C33" s="169" t="s">
        <v>127</v>
      </c>
      <c r="D33" s="163">
        <f>'MORE Formula w 3-yr Avg ''22-''24'!K23</f>
        <v>9.1854686695485993E-3</v>
      </c>
      <c r="E33" s="42">
        <f t="shared" si="1"/>
        <v>11265.899154862978</v>
      </c>
      <c r="F33" s="268">
        <f t="shared" si="6"/>
        <v>1750</v>
      </c>
      <c r="G33" s="242"/>
      <c r="H33" s="170">
        <f t="shared" si="3"/>
        <v>9515.8991548629783</v>
      </c>
      <c r="I33" s="142">
        <f t="shared" si="2"/>
        <v>9</v>
      </c>
      <c r="J33" s="42">
        <f t="shared" si="4"/>
        <v>2324</v>
      </c>
      <c r="K33" s="42">
        <f t="shared" si="5"/>
        <v>7191.8991548629783</v>
      </c>
    </row>
    <row r="34" spans="1:12" ht="16.350000000000001" customHeight="1">
      <c r="A34" s="124">
        <v>24</v>
      </c>
      <c r="B34" s="48"/>
      <c r="C34" s="169" t="s">
        <v>128</v>
      </c>
      <c r="D34" s="163">
        <f>'MORE Formula w 3-yr Avg ''22-''24'!K20</f>
        <v>3.5278855410903298E-3</v>
      </c>
      <c r="E34" s="42">
        <f t="shared" si="1"/>
        <v>4326.9215938413345</v>
      </c>
      <c r="F34" s="268">
        <f t="shared" si="6"/>
        <v>1750</v>
      </c>
      <c r="G34" s="242"/>
      <c r="H34" s="170">
        <f t="shared" si="3"/>
        <v>2576.9215938413345</v>
      </c>
      <c r="I34" s="142">
        <f t="shared" si="2"/>
        <v>4</v>
      </c>
      <c r="J34" s="42">
        <f t="shared" si="4"/>
        <v>892</v>
      </c>
      <c r="K34" s="42">
        <f t="shared" si="5"/>
        <v>1684.9215938413345</v>
      </c>
    </row>
    <row r="35" spans="1:12" ht="16.350000000000001" customHeight="1">
      <c r="A35" s="124">
        <v>25</v>
      </c>
      <c r="B35" s="48"/>
      <c r="C35" s="169" t="s">
        <v>129</v>
      </c>
      <c r="D35" s="163">
        <f>'MORE Formula w 3-yr Avg ''22-''24'!K36</f>
        <v>8.9865493832063884E-3</v>
      </c>
      <c r="E35" s="42">
        <f t="shared" si="1"/>
        <v>11021.926342967385</v>
      </c>
      <c r="F35" s="268">
        <f t="shared" si="6"/>
        <v>1750</v>
      </c>
      <c r="G35" s="242"/>
      <c r="H35" s="170">
        <f t="shared" si="3"/>
        <v>9271.9263429673847</v>
      </c>
      <c r="I35" s="142">
        <f t="shared" si="2"/>
        <v>9</v>
      </c>
      <c r="J35" s="42">
        <f t="shared" si="4"/>
        <v>2273</v>
      </c>
      <c r="K35" s="42">
        <f t="shared" si="5"/>
        <v>6998.9263429673847</v>
      </c>
    </row>
    <row r="36" spans="1:12" ht="16.350000000000001" customHeight="1">
      <c r="A36" s="124">
        <v>26</v>
      </c>
      <c r="B36" s="48"/>
      <c r="C36" s="169" t="s">
        <v>130</v>
      </c>
      <c r="D36" s="163">
        <f>'MORE Formula w 3-yr Avg ''22-''24'!K43</f>
        <v>5.6267605961029081E-2</v>
      </c>
      <c r="E36" s="42">
        <f t="shared" si="1"/>
        <v>69011.739873875442</v>
      </c>
      <c r="F36" s="268">
        <f t="shared" si="6"/>
        <v>1750</v>
      </c>
      <c r="G36" s="242"/>
      <c r="H36" s="170">
        <f t="shared" si="3"/>
        <v>67261.739873875442</v>
      </c>
      <c r="I36" s="142">
        <f t="shared" si="2"/>
        <v>56</v>
      </c>
      <c r="J36" s="42">
        <f t="shared" si="4"/>
        <v>14234</v>
      </c>
      <c r="K36" s="42">
        <f t="shared" si="5"/>
        <v>53027.739873875442</v>
      </c>
      <c r="L36" t="s">
        <v>251</v>
      </c>
    </row>
    <row r="37" spans="1:12" ht="16.350000000000001" customHeight="1">
      <c r="A37" s="124">
        <v>27</v>
      </c>
      <c r="B37" s="48"/>
      <c r="C37" s="169" t="s">
        <v>131</v>
      </c>
      <c r="D37" s="163">
        <f>'MORE Formula w 3-yr Avg ''22-''24'!K49</f>
        <v>5.5774843724450546E-3</v>
      </c>
      <c r="E37" s="42">
        <f t="shared" si="1"/>
        <v>6840.7371184118501</v>
      </c>
      <c r="F37" s="268">
        <f t="shared" si="6"/>
        <v>1750</v>
      </c>
      <c r="G37" s="242"/>
      <c r="H37" s="170">
        <f t="shared" si="3"/>
        <v>5090.7371184118501</v>
      </c>
      <c r="I37" s="142">
        <f t="shared" si="2"/>
        <v>6</v>
      </c>
      <c r="J37" s="42">
        <f t="shared" si="4"/>
        <v>1411</v>
      </c>
      <c r="K37" s="42">
        <f t="shared" si="5"/>
        <v>3679.7371184118501</v>
      </c>
      <c r="L37" t="s">
        <v>251</v>
      </c>
    </row>
    <row r="38" spans="1:12" ht="16.350000000000001" customHeight="1">
      <c r="A38" s="124">
        <v>28</v>
      </c>
      <c r="B38" s="48"/>
      <c r="C38" s="169" t="s">
        <v>132</v>
      </c>
      <c r="D38" s="163">
        <f>'MORE Formula w 3-yr Avg ''22-''24'!K59</f>
        <v>1.3798006426044397E-2</v>
      </c>
      <c r="E38" s="42">
        <f t="shared" si="1"/>
        <v>16923.137460508769</v>
      </c>
      <c r="F38" s="268">
        <f t="shared" si="6"/>
        <v>1750</v>
      </c>
      <c r="G38" s="242"/>
      <c r="H38" s="170">
        <f t="shared" si="3"/>
        <v>15173.137460508769</v>
      </c>
      <c r="I38" s="142">
        <f t="shared" si="2"/>
        <v>14</v>
      </c>
      <c r="J38" s="42">
        <f t="shared" si="4"/>
        <v>3490</v>
      </c>
      <c r="K38" s="42">
        <f t="shared" si="5"/>
        <v>11683.137460508769</v>
      </c>
      <c r="L38" t="s">
        <v>251</v>
      </c>
    </row>
    <row r="39" spans="1:12" ht="16.350000000000001" customHeight="1">
      <c r="A39" s="124">
        <v>29</v>
      </c>
      <c r="B39" s="48"/>
      <c r="C39" s="169" t="s">
        <v>133</v>
      </c>
      <c r="D39" s="163">
        <f>'MORE Formula w 3-yr Avg ''22-''24'!K22</f>
        <v>6.6086341591102049E-2</v>
      </c>
      <c r="E39" s="42">
        <f t="shared" si="1"/>
        <v>81054.335566719717</v>
      </c>
      <c r="F39" s="268">
        <f t="shared" si="6"/>
        <v>1750</v>
      </c>
      <c r="G39" s="242">
        <f>'MORE Formula w 3-yr Avg ''22-''24'!N22</f>
        <v>3384.4108359647662</v>
      </c>
      <c r="H39" s="170">
        <f t="shared" si="3"/>
        <v>75919.924730754952</v>
      </c>
      <c r="I39" s="142">
        <f t="shared" si="2"/>
        <v>66</v>
      </c>
      <c r="J39" s="42">
        <f t="shared" si="4"/>
        <v>16717</v>
      </c>
      <c r="K39" s="42">
        <f t="shared" si="5"/>
        <v>59202.924730754952</v>
      </c>
      <c r="L39" t="s">
        <v>251</v>
      </c>
    </row>
    <row r="40" spans="1:12" ht="16.350000000000001" customHeight="1">
      <c r="A40" s="124">
        <v>30</v>
      </c>
      <c r="B40" s="48"/>
      <c r="C40" s="169" t="s">
        <v>134</v>
      </c>
      <c r="D40" s="163">
        <f>'MORE Formula w 3-yr Avg ''22-''24'!K55</f>
        <v>1.7900965632544522E-2</v>
      </c>
      <c r="E40" s="42">
        <f t="shared" si="1"/>
        <v>21955.382011098322</v>
      </c>
      <c r="F40" s="268">
        <f t="shared" si="6"/>
        <v>1750</v>
      </c>
      <c r="G40" s="242"/>
      <c r="H40" s="170">
        <f t="shared" si="3"/>
        <v>20205.382011098322</v>
      </c>
      <c r="I40" s="142">
        <f t="shared" si="2"/>
        <v>18</v>
      </c>
      <c r="J40" s="42">
        <f t="shared" si="4"/>
        <v>4528</v>
      </c>
      <c r="K40" s="42">
        <f t="shared" si="5"/>
        <v>15677.382011098322</v>
      </c>
      <c r="L40" t="s">
        <v>251</v>
      </c>
    </row>
    <row r="41" spans="1:12" ht="16.350000000000001" customHeight="1">
      <c r="A41" s="124">
        <v>31</v>
      </c>
      <c r="B41" s="48"/>
      <c r="C41" s="169" t="s">
        <v>135</v>
      </c>
      <c r="D41" s="163">
        <f>'MORE Formula w 3-yr Avg ''22-''24'!K35</f>
        <v>8.1435210395313911E-3</v>
      </c>
      <c r="E41" s="42">
        <f t="shared" si="1"/>
        <v>9987.959253621204</v>
      </c>
      <c r="F41" s="268">
        <f t="shared" si="6"/>
        <v>1750</v>
      </c>
      <c r="G41" s="242"/>
      <c r="H41" s="170">
        <f t="shared" si="3"/>
        <v>8237.959253621204</v>
      </c>
      <c r="I41" s="142">
        <f t="shared" si="2"/>
        <v>8</v>
      </c>
      <c r="J41" s="42">
        <f t="shared" si="4"/>
        <v>2060</v>
      </c>
      <c r="K41" s="42">
        <f t="shared" si="5"/>
        <v>6177.959253621204</v>
      </c>
      <c r="L41" t="s">
        <v>251</v>
      </c>
    </row>
    <row r="42" spans="1:12" ht="16.350000000000001" customHeight="1">
      <c r="A42" s="124">
        <v>32</v>
      </c>
      <c r="B42" s="48"/>
      <c r="C42" s="169" t="s">
        <v>136</v>
      </c>
      <c r="D42" s="163">
        <f>'MORE Formula w 3-yr Avg ''22-''24'!K58</f>
        <v>8.5345003264798748E-3</v>
      </c>
      <c r="E42" s="42">
        <f t="shared" si="1"/>
        <v>10467.492021829788</v>
      </c>
      <c r="F42" s="268">
        <f t="shared" si="6"/>
        <v>1750</v>
      </c>
      <c r="G42" s="242"/>
      <c r="H42" s="170">
        <f t="shared" si="3"/>
        <v>8717.4920218297884</v>
      </c>
      <c r="I42" s="142">
        <f t="shared" si="2"/>
        <v>9</v>
      </c>
      <c r="J42" s="42">
        <f t="shared" si="4"/>
        <v>2159</v>
      </c>
      <c r="K42" s="42">
        <f t="shared" si="5"/>
        <v>6558.4920218297884</v>
      </c>
      <c r="L42" t="s">
        <v>251</v>
      </c>
    </row>
    <row r="43" spans="1:12" ht="16.350000000000001" customHeight="1">
      <c r="A43" s="124">
        <v>33</v>
      </c>
      <c r="B43" s="48"/>
      <c r="C43" s="169" t="s">
        <v>137</v>
      </c>
      <c r="D43" s="163">
        <f>'MORE Formula w 3-yr Avg ''22-''24'!K33</f>
        <v>4.1655778472507871E-3</v>
      </c>
      <c r="E43" s="42">
        <f t="shared" si="1"/>
        <v>5109.0457805856104</v>
      </c>
      <c r="F43" s="268">
        <f t="shared" si="6"/>
        <v>1750</v>
      </c>
      <c r="G43" s="242"/>
      <c r="H43" s="170">
        <f t="shared" si="3"/>
        <v>3359.0457805856104</v>
      </c>
      <c r="I43" s="142">
        <f t="shared" si="2"/>
        <v>4</v>
      </c>
      <c r="J43" s="42">
        <f t="shared" si="4"/>
        <v>1054</v>
      </c>
      <c r="K43" s="42">
        <f t="shared" si="5"/>
        <v>2305.0457805856104</v>
      </c>
    </row>
    <row r="44" spans="1:12" ht="16.350000000000001" customHeight="1">
      <c r="A44" s="124">
        <v>34</v>
      </c>
      <c r="B44" s="48"/>
      <c r="C44" s="169" t="s">
        <v>138</v>
      </c>
      <c r="D44" s="163">
        <f>'MORE Formula w 3-yr Avg ''22-''24'!K38</f>
        <v>1.1725617064663815E-2</v>
      </c>
      <c r="E44" s="42">
        <f t="shared" si="1"/>
        <v>14381.369544808949</v>
      </c>
      <c r="F44" s="268">
        <f t="shared" si="6"/>
        <v>1750</v>
      </c>
      <c r="G44" s="242"/>
      <c r="H44" s="170">
        <f t="shared" si="3"/>
        <v>12631.369544808949</v>
      </c>
      <c r="I44" s="142">
        <f t="shared" si="2"/>
        <v>12</v>
      </c>
      <c r="J44" s="42">
        <f t="shared" si="4"/>
        <v>2966</v>
      </c>
      <c r="K44" s="42">
        <f t="shared" si="5"/>
        <v>9665.3695448089493</v>
      </c>
    </row>
    <row r="45" spans="1:12" ht="16.350000000000001" customHeight="1">
      <c r="A45" s="124">
        <v>35</v>
      </c>
      <c r="B45" s="48"/>
      <c r="C45" s="169" t="s">
        <v>139</v>
      </c>
      <c r="D45" s="163">
        <f>'MORE Formula w 3-yr Avg ''22-''24'!K53</f>
        <v>3.6640534263127952E-2</v>
      </c>
      <c r="E45" s="42">
        <f t="shared" si="1"/>
        <v>44939.303462779855</v>
      </c>
      <c r="F45" s="268">
        <f t="shared" si="6"/>
        <v>1750</v>
      </c>
      <c r="G45" s="242"/>
      <c r="H45" s="170">
        <f t="shared" si="3"/>
        <v>43189.303462779855</v>
      </c>
      <c r="I45" s="142">
        <f t="shared" si="2"/>
        <v>37</v>
      </c>
      <c r="J45" s="42">
        <f t="shared" si="4"/>
        <v>9269</v>
      </c>
      <c r="K45" s="42">
        <f t="shared" si="5"/>
        <v>33920.303462779855</v>
      </c>
      <c r="L45" t="s">
        <v>251</v>
      </c>
    </row>
    <row r="46" spans="1:12" ht="17.100000000000001" customHeight="1">
      <c r="A46" s="125">
        <v>36</v>
      </c>
      <c r="B46" s="50"/>
      <c r="C46" s="139" t="s">
        <v>140</v>
      </c>
      <c r="D46" s="163">
        <f>'MORE Formula w 3-yr Avg ''22-''24'!K21</f>
        <v>1.0758679043178319E-2</v>
      </c>
      <c r="E46" s="42">
        <f t="shared" si="1"/>
        <v>13195.428290099549</v>
      </c>
      <c r="F46" s="268">
        <f t="shared" si="6"/>
        <v>1750</v>
      </c>
      <c r="G46" s="243"/>
      <c r="H46" s="170">
        <f t="shared" si="3"/>
        <v>11445.428290099549</v>
      </c>
      <c r="I46" s="142">
        <f t="shared" si="2"/>
        <v>11</v>
      </c>
      <c r="J46" s="42">
        <f t="shared" si="4"/>
        <v>2722</v>
      </c>
      <c r="K46" s="42">
        <f t="shared" si="5"/>
        <v>8723.4282900995495</v>
      </c>
    </row>
    <row r="47" spans="1:12" ht="17.100000000000001" customHeight="1">
      <c r="A47" s="125">
        <v>37</v>
      </c>
      <c r="B47" s="50"/>
      <c r="C47" s="139" t="s">
        <v>141</v>
      </c>
      <c r="D47" s="163">
        <f>'MORE Formula w 3-yr Avg ''22-''24'!K11</f>
        <v>7.8080798403158281E-3</v>
      </c>
      <c r="E47" s="42">
        <f t="shared" si="1"/>
        <v>9576.5434773879224</v>
      </c>
      <c r="F47" s="268">
        <f t="shared" si="6"/>
        <v>1750</v>
      </c>
      <c r="G47" s="243"/>
      <c r="H47" s="170">
        <f t="shared" si="3"/>
        <v>7826.5434773879224</v>
      </c>
      <c r="I47" s="142">
        <f t="shared" si="2"/>
        <v>8</v>
      </c>
      <c r="J47" s="42">
        <f t="shared" si="4"/>
        <v>1975</v>
      </c>
      <c r="K47" s="42">
        <f t="shared" si="5"/>
        <v>5851.5434773879224</v>
      </c>
    </row>
    <row r="48" spans="1:12" ht="17.100000000000001" customHeight="1">
      <c r="A48" s="125">
        <v>38</v>
      </c>
      <c r="B48" s="50"/>
      <c r="C48" s="139" t="s">
        <v>142</v>
      </c>
      <c r="D48" s="163">
        <f>'MORE Formula w 3-yr Avg ''22-''24'!K18</f>
        <v>6.5384481773218296E-3</v>
      </c>
      <c r="E48" s="42">
        <f t="shared" si="1"/>
        <v>8019.3510472912349</v>
      </c>
      <c r="F48" s="268">
        <f t="shared" si="6"/>
        <v>1750</v>
      </c>
      <c r="G48" s="243"/>
      <c r="H48" s="170">
        <f t="shared" si="3"/>
        <v>6269.3510472912349</v>
      </c>
      <c r="I48" s="142">
        <f t="shared" si="2"/>
        <v>7</v>
      </c>
      <c r="J48" s="42">
        <f t="shared" si="4"/>
        <v>1654</v>
      </c>
      <c r="K48" s="42">
        <f t="shared" si="5"/>
        <v>4615.3510472912349</v>
      </c>
    </row>
    <row r="49" spans="1:12" ht="17.100000000000001" customHeight="1">
      <c r="A49" s="125">
        <v>39</v>
      </c>
      <c r="B49" s="50"/>
      <c r="C49" s="139" t="s">
        <v>143</v>
      </c>
      <c r="D49" s="163">
        <f>'MORE Formula w 3-yr Avg ''22-''24'!K51</f>
        <v>7.732848964502311E-3</v>
      </c>
      <c r="E49" s="42">
        <f t="shared" si="1"/>
        <v>9484.2734484173961</v>
      </c>
      <c r="F49" s="268">
        <f t="shared" si="6"/>
        <v>1750</v>
      </c>
      <c r="G49" s="243"/>
      <c r="H49" s="170">
        <f t="shared" si="3"/>
        <v>7734.2734484173961</v>
      </c>
      <c r="I49" s="142">
        <f t="shared" si="2"/>
        <v>8</v>
      </c>
      <c r="J49" s="42">
        <f t="shared" si="4"/>
        <v>1956</v>
      </c>
      <c r="K49" s="42">
        <f t="shared" si="5"/>
        <v>5778.2734484173961</v>
      </c>
    </row>
    <row r="50" spans="1:12" ht="17.100000000000001" customHeight="1">
      <c r="A50" s="125">
        <v>40</v>
      </c>
      <c r="B50" s="50"/>
      <c r="C50" s="139" t="s">
        <v>144</v>
      </c>
      <c r="D50" s="163">
        <f>'MORE Formula w 3-yr Avg ''22-''24'!K50</f>
        <v>1.3316307553556086E-2</v>
      </c>
      <c r="E50" s="42">
        <f t="shared" si="1"/>
        <v>16332.337892659258</v>
      </c>
      <c r="F50" s="268">
        <f t="shared" si="6"/>
        <v>1750</v>
      </c>
      <c r="G50" s="243"/>
      <c r="H50" s="170">
        <f t="shared" si="3"/>
        <v>14582.337892659258</v>
      </c>
      <c r="I50" s="142">
        <f t="shared" si="2"/>
        <v>13</v>
      </c>
      <c r="J50" s="42">
        <f t="shared" si="4"/>
        <v>3369</v>
      </c>
      <c r="K50" s="42">
        <f t="shared" si="5"/>
        <v>11213.337892659258</v>
      </c>
    </row>
    <row r="51" spans="1:12" ht="17.100000000000001" customHeight="1">
      <c r="A51" s="125">
        <v>41</v>
      </c>
      <c r="B51" s="50"/>
      <c r="C51" s="139" t="s">
        <v>145</v>
      </c>
      <c r="D51" s="163">
        <f>'MORE Formula w 3-yr Avg ''22-''24'!K60</f>
        <v>1.2227672527078137E-2</v>
      </c>
      <c r="E51" s="42">
        <f t="shared" si="1"/>
        <v>14997.136296968129</v>
      </c>
      <c r="F51" s="268">
        <f t="shared" si="6"/>
        <v>1750</v>
      </c>
      <c r="G51" s="243"/>
      <c r="H51" s="170">
        <f t="shared" si="3"/>
        <v>13247.136296968129</v>
      </c>
      <c r="I51" s="142">
        <f t="shared" si="2"/>
        <v>12</v>
      </c>
      <c r="J51" s="42">
        <f t="shared" si="4"/>
        <v>3093</v>
      </c>
      <c r="K51" s="42">
        <f t="shared" si="5"/>
        <v>10154.136296968129</v>
      </c>
      <c r="L51" t="s">
        <v>251</v>
      </c>
    </row>
    <row r="52" spans="1:12" ht="17.100000000000001" customHeight="1">
      <c r="A52" s="125">
        <v>42</v>
      </c>
      <c r="B52" s="50"/>
      <c r="C52" s="139" t="s">
        <v>146</v>
      </c>
      <c r="D52" s="163">
        <f>'MORE Formula w 3-yr Avg ''22-''24'!K14</f>
        <v>1.5598237030805494E-2</v>
      </c>
      <c r="E52" s="42">
        <f t="shared" si="1"/>
        <v>19131.104977285806</v>
      </c>
      <c r="F52" s="268">
        <f t="shared" si="6"/>
        <v>1750</v>
      </c>
      <c r="G52" s="243"/>
      <c r="H52" s="170">
        <f t="shared" si="3"/>
        <v>17381.104977285806</v>
      </c>
      <c r="I52" s="142">
        <f t="shared" si="2"/>
        <v>16</v>
      </c>
      <c r="J52" s="42">
        <f t="shared" si="4"/>
        <v>3946</v>
      </c>
      <c r="K52" s="42">
        <f t="shared" si="5"/>
        <v>13435.104977285806</v>
      </c>
      <c r="L52" t="s">
        <v>251</v>
      </c>
    </row>
    <row r="53" spans="1:12" ht="17.100000000000001" customHeight="1">
      <c r="A53" s="125">
        <v>43</v>
      </c>
      <c r="B53" s="50"/>
      <c r="C53" s="139" t="s">
        <v>147</v>
      </c>
      <c r="D53" s="163">
        <f>'MORE Formula w 3-yr Avg ''22-''24'!K17</f>
        <v>7.23035096752438E-3</v>
      </c>
      <c r="E53" s="42">
        <f t="shared" si="1"/>
        <v>8867.9639313819189</v>
      </c>
      <c r="F53" s="268">
        <f t="shared" si="6"/>
        <v>1750</v>
      </c>
      <c r="G53" s="243"/>
      <c r="H53" s="170">
        <f t="shared" si="3"/>
        <v>7117.9639313819189</v>
      </c>
      <c r="I53" s="142">
        <f t="shared" si="2"/>
        <v>7</v>
      </c>
      <c r="J53" s="42">
        <f t="shared" si="4"/>
        <v>1829</v>
      </c>
      <c r="K53" s="42">
        <f t="shared" si="5"/>
        <v>5288.9639313819189</v>
      </c>
    </row>
    <row r="54" spans="1:12" ht="17.100000000000001" customHeight="1">
      <c r="A54" s="125">
        <v>44</v>
      </c>
      <c r="B54" s="50"/>
      <c r="C54" s="139" t="s">
        <v>148</v>
      </c>
      <c r="D54" s="163">
        <f>'MORE Formula w 3-yr Avg ''22-''24'!K19</f>
        <v>6.9904972340483441E-3</v>
      </c>
      <c r="E54" s="42">
        <f t="shared" si="1"/>
        <v>8573.785368428833</v>
      </c>
      <c r="F54" s="268">
        <f t="shared" si="6"/>
        <v>1750</v>
      </c>
      <c r="G54" s="243"/>
      <c r="H54" s="170">
        <f t="shared" si="3"/>
        <v>6823.785368428833</v>
      </c>
      <c r="I54" s="142">
        <f t="shared" si="2"/>
        <v>7</v>
      </c>
      <c r="J54" s="42">
        <f t="shared" si="4"/>
        <v>1768</v>
      </c>
      <c r="K54" s="42">
        <f t="shared" si="5"/>
        <v>5055.785368428833</v>
      </c>
    </row>
    <row r="55" spans="1:12" ht="17.100000000000001" customHeight="1">
      <c r="A55" s="125">
        <v>45</v>
      </c>
      <c r="B55" s="50"/>
      <c r="C55" s="139" t="s">
        <v>149</v>
      </c>
      <c r="D55" s="163">
        <f>'MORE Formula w 3-yr Avg ''22-''24'!K26</f>
        <v>1.7788340586106052E-2</v>
      </c>
      <c r="E55" s="42">
        <f t="shared" si="1"/>
        <v>21817.248350080685</v>
      </c>
      <c r="F55" s="268">
        <f t="shared" si="6"/>
        <v>1750</v>
      </c>
      <c r="G55" s="243"/>
      <c r="H55" s="170">
        <f t="shared" si="3"/>
        <v>20067.248350080685</v>
      </c>
      <c r="I55" s="142">
        <f t="shared" si="2"/>
        <v>18</v>
      </c>
      <c r="J55" s="42">
        <f t="shared" si="4"/>
        <v>4500</v>
      </c>
      <c r="K55" s="42">
        <f t="shared" si="5"/>
        <v>15567.248350080685</v>
      </c>
    </row>
    <row r="56" spans="1:12" ht="17.100000000000001" customHeight="1">
      <c r="A56" s="125">
        <v>46</v>
      </c>
      <c r="B56" s="50"/>
      <c r="C56" s="139" t="s">
        <v>150</v>
      </c>
      <c r="D56" s="163">
        <f>'MORE Formula w 3-yr Avg ''22-''24'!K41</f>
        <v>2.6053337363348094E-2</v>
      </c>
      <c r="E56" s="42">
        <f t="shared" si="1"/>
        <v>31954.196562245474</v>
      </c>
      <c r="F56" s="268">
        <f t="shared" si="6"/>
        <v>1750</v>
      </c>
      <c r="G56" s="243"/>
      <c r="H56" s="170">
        <f t="shared" si="3"/>
        <v>30204.196562245474</v>
      </c>
      <c r="I56" s="142">
        <f t="shared" si="2"/>
        <v>26</v>
      </c>
      <c r="J56" s="42">
        <f t="shared" si="4"/>
        <v>6591</v>
      </c>
      <c r="K56" s="42">
        <f t="shared" si="5"/>
        <v>23613.196562245474</v>
      </c>
      <c r="L56" t="s">
        <v>251</v>
      </c>
    </row>
    <row r="57" spans="1:12" ht="17.100000000000001" customHeight="1">
      <c r="A57" s="125">
        <v>47</v>
      </c>
      <c r="B57" s="50"/>
      <c r="C57" s="139" t="s">
        <v>151</v>
      </c>
      <c r="D57" s="163">
        <f>'MORE Formula w 3-yr Avg ''22-''24'!K61</f>
        <v>6.3649746283871321E-3</v>
      </c>
      <c r="E57" s="42">
        <f t="shared" si="1"/>
        <v>7806.5872157827298</v>
      </c>
      <c r="F57" s="268">
        <f t="shared" si="6"/>
        <v>1750</v>
      </c>
      <c r="G57" s="243"/>
      <c r="H57" s="170">
        <f t="shared" si="3"/>
        <v>6056.5872157827298</v>
      </c>
      <c r="I57" s="142">
        <f t="shared" si="2"/>
        <v>6</v>
      </c>
      <c r="J57" s="42">
        <f t="shared" si="4"/>
        <v>1610</v>
      </c>
      <c r="K57" s="42">
        <f t="shared" si="5"/>
        <v>4446.5872157827298</v>
      </c>
    </row>
    <row r="58" spans="1:12" ht="17.100000000000001" customHeight="1">
      <c r="A58" s="125">
        <v>48</v>
      </c>
      <c r="B58" s="50"/>
      <c r="C58" s="139" t="s">
        <v>152</v>
      </c>
      <c r="D58" s="163">
        <f>'MORE Formula w 3-yr Avg ''22-''24'!K56</f>
        <v>3.3460038354470628E-3</v>
      </c>
      <c r="E58" s="42">
        <f t="shared" si="1"/>
        <v>4103.8452296831829</v>
      </c>
      <c r="F58" s="268">
        <f t="shared" si="6"/>
        <v>1750</v>
      </c>
      <c r="G58" s="243"/>
      <c r="H58" s="170">
        <f t="shared" si="3"/>
        <v>2353.8452296831829</v>
      </c>
      <c r="I58" s="142">
        <f>ROUND(D58*1000,0)</f>
        <v>3</v>
      </c>
      <c r="J58" s="42">
        <f t="shared" si="4"/>
        <v>846</v>
      </c>
      <c r="K58" s="42">
        <f t="shared" si="5"/>
        <v>1507.8452296831829</v>
      </c>
    </row>
    <row r="59" spans="1:12" ht="17.100000000000001" customHeight="1">
      <c r="A59" s="125">
        <v>49</v>
      </c>
      <c r="B59" s="50"/>
      <c r="C59" s="139" t="s">
        <v>153</v>
      </c>
      <c r="D59" s="163">
        <f>'MORE Formula w 3-yr Avg ''22-''24'!K15</f>
        <v>1.6366034498666974E-2</v>
      </c>
      <c r="E59" s="42">
        <f t="shared" si="1"/>
        <v>20072.802037661459</v>
      </c>
      <c r="F59" s="268">
        <f t="shared" si="6"/>
        <v>1750</v>
      </c>
      <c r="G59" s="243"/>
      <c r="H59" s="170">
        <f t="shared" si="3"/>
        <v>18322.802037661459</v>
      </c>
      <c r="I59" s="142">
        <f>ROUND(D59*1000,0)</f>
        <v>16</v>
      </c>
      <c r="J59" s="42">
        <f t="shared" si="4"/>
        <v>4140</v>
      </c>
      <c r="K59" s="42">
        <f t="shared" si="5"/>
        <v>14182.802037661459</v>
      </c>
    </row>
    <row r="60" spans="1:12" ht="17.100000000000001" customHeight="1">
      <c r="A60" s="125">
        <v>50</v>
      </c>
      <c r="B60" s="50"/>
      <c r="C60" s="139" t="s">
        <v>154</v>
      </c>
      <c r="D60" s="163">
        <f>'MORE Formula w 3-yr Avg ''22-''24'!K10</f>
        <v>2.2554216568892341E-2</v>
      </c>
      <c r="E60" s="42">
        <f t="shared" si="1"/>
        <v>27662.554685363455</v>
      </c>
      <c r="F60" s="268">
        <f t="shared" si="6"/>
        <v>1750</v>
      </c>
      <c r="G60" s="243"/>
      <c r="H60" s="170">
        <f t="shared" si="3"/>
        <v>25912.554685363455</v>
      </c>
      <c r="I60" s="142">
        <f>ROUND(D60*1000,0)</f>
        <v>23</v>
      </c>
      <c r="J60" s="42">
        <f t="shared" si="4"/>
        <v>5705</v>
      </c>
      <c r="K60" s="42">
        <f t="shared" si="5"/>
        <v>20207.554685363455</v>
      </c>
      <c r="L60" t="s">
        <v>251</v>
      </c>
    </row>
    <row r="61" spans="1:12" ht="17.100000000000001" customHeight="1">
      <c r="A61" s="125">
        <v>51</v>
      </c>
      <c r="B61" s="50"/>
      <c r="C61" s="139" t="s">
        <v>155</v>
      </c>
      <c r="D61" s="163">
        <f>'MORE Formula w 3-yr Avg ''22-''24'!K46</f>
        <v>5.5164146026670229E-3</v>
      </c>
      <c r="E61" s="42">
        <f t="shared" si="1"/>
        <v>6765.8355654828347</v>
      </c>
      <c r="F61" s="268">
        <f t="shared" si="6"/>
        <v>1750</v>
      </c>
      <c r="G61" s="243"/>
      <c r="H61" s="170">
        <f t="shared" si="3"/>
        <v>5015.8355654828347</v>
      </c>
      <c r="I61" s="142"/>
      <c r="J61" s="42">
        <f t="shared" si="4"/>
        <v>1395</v>
      </c>
      <c r="K61" s="42">
        <f t="shared" si="5"/>
        <v>3620.8355654828347</v>
      </c>
    </row>
    <row r="62" spans="1:12" ht="17.100000000000001" customHeight="1">
      <c r="A62" s="125">
        <v>52</v>
      </c>
      <c r="B62" s="50"/>
      <c r="C62" s="139" t="s">
        <v>312</v>
      </c>
      <c r="D62" s="163">
        <f>'MORE Formula w 3-yr Avg ''22-''24'!K34</f>
        <v>3.274534503424222E-3</v>
      </c>
      <c r="E62" s="42">
        <f t="shared" si="1"/>
        <v>4016.1887021611842</v>
      </c>
      <c r="F62" s="268">
        <f t="shared" si="6"/>
        <v>1750</v>
      </c>
      <c r="G62" s="243"/>
      <c r="H62" s="170">
        <f t="shared" si="3"/>
        <v>2266.1887021611842</v>
      </c>
      <c r="I62" s="142"/>
      <c r="J62" s="42">
        <f t="shared" si="4"/>
        <v>828</v>
      </c>
      <c r="K62" s="42">
        <f t="shared" si="5"/>
        <v>1438.1887021611842</v>
      </c>
    </row>
    <row r="63" spans="1:12" ht="17.100000000000001" customHeight="1">
      <c r="A63" s="125">
        <v>53</v>
      </c>
      <c r="B63" s="50"/>
      <c r="C63" s="139" t="s">
        <v>320</v>
      </c>
      <c r="D63" s="163">
        <f>'MORE Formula w 3-yr Avg ''22-''24'!K30</f>
        <v>9.5308668964453631E-3</v>
      </c>
      <c r="E63" s="42">
        <f>($D$6*D63)</f>
        <v>11689.527140812948</v>
      </c>
      <c r="F63" s="268">
        <f>IF(E63&lt;($E$7*2),E63/2,$E$7)</f>
        <v>1750</v>
      </c>
      <c r="G63" s="243"/>
      <c r="H63" s="170">
        <f>E63-F63-G63</f>
        <v>9939.5271408129483</v>
      </c>
      <c r="I63" s="142"/>
      <c r="J63" s="42">
        <f>ROUND($J$9*D63,0)</f>
        <v>2411</v>
      </c>
      <c r="K63" s="42">
        <f>H63-J63</f>
        <v>7528.5271408129483</v>
      </c>
    </row>
    <row r="64" spans="1:12" ht="17.100000000000001" customHeight="1">
      <c r="A64" s="125">
        <v>54</v>
      </c>
      <c r="B64" s="50"/>
      <c r="C64" s="139" t="s">
        <v>345</v>
      </c>
      <c r="D64" s="163">
        <f>'MORE Formula w 3-yr Avg ''22-''24'!K25</f>
        <v>5.6812587276113468E-3</v>
      </c>
      <c r="E64" s="42">
        <f>($D$6*D64)</f>
        <v>6968.0154819035452</v>
      </c>
      <c r="F64" s="268">
        <f>IF(E64&lt;($E$7*2),E64/2,$E$7)</f>
        <v>1750</v>
      </c>
      <c r="G64" s="243"/>
      <c r="H64" s="170">
        <f>E64-F64-G64</f>
        <v>5218.0154819035452</v>
      </c>
      <c r="I64" s="142"/>
      <c r="J64" s="42">
        <f>ROUND($J$9*D64,0)</f>
        <v>1437</v>
      </c>
      <c r="K64" s="42">
        <f>H64-J64</f>
        <v>3781.0154819035452</v>
      </c>
    </row>
    <row r="65" spans="1:11" ht="17.100000000000001" customHeight="1" thickBot="1">
      <c r="A65" s="125">
        <v>55</v>
      </c>
      <c r="B65" s="50"/>
      <c r="C65" s="139" t="s">
        <v>385</v>
      </c>
      <c r="D65" s="163">
        <f>'MORE Formula w 3-yr Avg ''22-''24'!K39</f>
        <v>3.6471486059829346E-3</v>
      </c>
      <c r="E65" s="42">
        <f>($D$6*D65)</f>
        <v>4473.1967280034323</v>
      </c>
      <c r="F65" s="268">
        <f>IF(E65&lt;($E$7*2),E65/2,$E$7)</f>
        <v>1750</v>
      </c>
      <c r="G65" s="243"/>
      <c r="H65" s="170">
        <f>E65-F65-G65</f>
        <v>2723.1967280034323</v>
      </c>
      <c r="I65" s="142"/>
      <c r="J65" s="42">
        <f>ROUND($J$9*D65,0)</f>
        <v>923</v>
      </c>
      <c r="K65" s="42">
        <f>H65-J65</f>
        <v>1800.1967280034323</v>
      </c>
    </row>
    <row r="66" spans="1:11" ht="17.100000000000001" customHeight="1" thickBot="1">
      <c r="A66" s="124"/>
      <c r="B66" s="48"/>
      <c r="C66" s="48" t="s">
        <v>156</v>
      </c>
      <c r="D66" s="48"/>
      <c r="E66" s="48"/>
      <c r="F66" s="60"/>
      <c r="G66" s="244"/>
      <c r="H66" s="276">
        <f>SUM(E11:E65)-SUM(H11:H65)</f>
        <v>107750.00000000047</v>
      </c>
      <c r="I66" s="143"/>
      <c r="J66" s="6"/>
      <c r="K66" s="6"/>
    </row>
    <row r="67" spans="1:11" ht="14.4" thickBot="1">
      <c r="A67" s="125"/>
      <c r="B67" s="50"/>
      <c r="C67" s="50"/>
      <c r="D67" s="50"/>
      <c r="E67" s="50"/>
      <c r="F67" s="61"/>
      <c r="G67" s="245"/>
      <c r="H67" s="275"/>
      <c r="I67" s="144"/>
      <c r="J67" s="16"/>
      <c r="K67" s="16"/>
    </row>
    <row r="68" spans="1:11" ht="18.75" customHeight="1" thickBot="1">
      <c r="A68" s="51"/>
      <c r="B68" s="52"/>
      <c r="C68" s="53" t="s">
        <v>157</v>
      </c>
      <c r="D68" s="66">
        <f>SUM(D11:D66)</f>
        <v>1</v>
      </c>
      <c r="E68" s="62">
        <f>SUM(E11:E67)</f>
        <v>1226491.49</v>
      </c>
      <c r="F68" s="121">
        <f>SUM(F11:F67)</f>
        <v>92750</v>
      </c>
      <c r="G68" s="121">
        <f>SUM(G11:G67)</f>
        <v>15000</v>
      </c>
      <c r="H68" s="122">
        <f>SUM(H11:H67)-H66</f>
        <v>1118741.4899999995</v>
      </c>
      <c r="I68" s="145">
        <f>SUM(I11:I66)</f>
        <v>972</v>
      </c>
      <c r="J68" s="62">
        <f>SUM(J11:J67)</f>
        <v>252962</v>
      </c>
      <c r="K68" s="62">
        <f>SUM(K11:K67)</f>
        <v>865779.48999999976</v>
      </c>
    </row>
    <row r="69" spans="1:11" ht="13.5" customHeight="1">
      <c r="A69" s="28"/>
      <c r="B69" s="30"/>
      <c r="C69" s="28"/>
      <c r="D69" s="28"/>
      <c r="E69" s="116" t="s">
        <v>158</v>
      </c>
      <c r="F69" s="28"/>
      <c r="G69" s="28"/>
      <c r="H69" s="28"/>
    </row>
    <row r="70" spans="1:11" ht="27" hidden="1" customHeight="1">
      <c r="A70" s="28"/>
      <c r="B70" s="28"/>
      <c r="C70" s="28"/>
      <c r="D70" s="28"/>
      <c r="E70" s="47"/>
      <c r="F70" s="46" t="s">
        <v>159</v>
      </c>
      <c r="G70" s="46"/>
      <c r="H70" s="41">
        <v>0</v>
      </c>
    </row>
    <row r="71" spans="1:11">
      <c r="A71" s="28"/>
      <c r="B71" s="28"/>
      <c r="C71" s="28" t="s">
        <v>160</v>
      </c>
      <c r="D71" s="28"/>
      <c r="E71" s="41"/>
      <c r="F71" s="28"/>
      <c r="G71" s="28"/>
      <c r="H71" s="28"/>
    </row>
    <row r="72" spans="1:11">
      <c r="A72" s="28"/>
      <c r="B72" s="28"/>
      <c r="C72" s="28"/>
      <c r="D72" s="28"/>
      <c r="E72" s="28"/>
      <c r="F72" s="28"/>
      <c r="G72" s="28"/>
      <c r="H72" s="28"/>
    </row>
    <row r="74" spans="1:11" ht="14.4" thickBot="1">
      <c r="A74" s="188" t="s">
        <v>251</v>
      </c>
      <c r="B74" s="130" t="s">
        <v>291</v>
      </c>
      <c r="C74" s="130"/>
      <c r="D74" s="129"/>
      <c r="E74" s="129"/>
      <c r="F74" s="129"/>
      <c r="G74" s="129"/>
      <c r="H74" s="299">
        <f>428*1.04</f>
        <v>445.12</v>
      </c>
    </row>
    <row r="75" spans="1:11">
      <c r="A75" s="148"/>
      <c r="B75" s="1"/>
      <c r="C75" s="1"/>
      <c r="H75" s="291"/>
    </row>
    <row r="76" spans="1:11">
      <c r="A76" s="148"/>
      <c r="B76" s="1"/>
      <c r="C76" s="1" t="s">
        <v>348</v>
      </c>
      <c r="D76" s="158" t="s">
        <v>349</v>
      </c>
      <c r="E76" s="158" t="s">
        <v>350</v>
      </c>
      <c r="F76" s="158" t="s">
        <v>375</v>
      </c>
      <c r="G76" s="158" t="s">
        <v>351</v>
      </c>
      <c r="H76" s="291"/>
    </row>
    <row r="77" spans="1:11" ht="19.5" customHeight="1" outlineLevel="2">
      <c r="C77" s="113" t="s">
        <v>161</v>
      </c>
      <c r="D77" s="232">
        <f>$H$74*F77</f>
        <v>890.24</v>
      </c>
      <c r="E77" s="113" t="s">
        <v>386</v>
      </c>
      <c r="F77" s="231">
        <v>2</v>
      </c>
      <c r="G77" s="231" t="s">
        <v>317</v>
      </c>
      <c r="H77" s="111"/>
    </row>
    <row r="78" spans="1:11" ht="19.5" customHeight="1" outlineLevel="1">
      <c r="C78" s="44" t="s">
        <v>352</v>
      </c>
      <c r="D78" s="232">
        <f>SUBTOTAL(9,D77:D77)</f>
        <v>890.24</v>
      </c>
      <c r="E78" s="113"/>
      <c r="F78" s="231"/>
      <c r="G78" s="231"/>
      <c r="H78" s="111"/>
    </row>
    <row r="79" spans="1:11" ht="14.25" customHeight="1" outlineLevel="2">
      <c r="C79" s="113" t="s">
        <v>162</v>
      </c>
      <c r="D79" s="232">
        <f>$H$74*F79</f>
        <v>1335.3600000000001</v>
      </c>
      <c r="E79" s="113" t="s">
        <v>388</v>
      </c>
      <c r="F79" s="231">
        <v>3</v>
      </c>
      <c r="G79" s="231" t="s">
        <v>387</v>
      </c>
    </row>
    <row r="80" spans="1:11" ht="14.25" customHeight="1" outlineLevel="2">
      <c r="C80" s="113" t="s">
        <v>162</v>
      </c>
      <c r="D80" s="232">
        <v>13900.9</v>
      </c>
      <c r="E80" s="113" t="s">
        <v>342</v>
      </c>
      <c r="F80" s="231"/>
      <c r="G80" s="231"/>
    </row>
    <row r="81" spans="3:7" ht="14.25" customHeight="1" outlineLevel="1">
      <c r="C81" s="44" t="s">
        <v>353</v>
      </c>
      <c r="D81" s="232">
        <f>SUBTOTAL(9,D79:D80)</f>
        <v>15236.26</v>
      </c>
      <c r="E81" s="113"/>
      <c r="F81" s="231"/>
      <c r="G81" s="231"/>
    </row>
    <row r="82" spans="3:7" ht="14.25" customHeight="1" outlineLevel="2">
      <c r="C82" s="113" t="s">
        <v>163</v>
      </c>
      <c r="D82" s="232">
        <f>$H$74*F82</f>
        <v>445.12</v>
      </c>
      <c r="E82" s="113" t="s">
        <v>386</v>
      </c>
      <c r="F82" s="231">
        <v>1</v>
      </c>
      <c r="G82" s="231" t="s">
        <v>318</v>
      </c>
    </row>
    <row r="83" spans="3:7" ht="14.25" customHeight="1" outlineLevel="1">
      <c r="C83" s="44" t="s">
        <v>354</v>
      </c>
      <c r="D83" s="232">
        <f>SUBTOTAL(9,D82:D82)</f>
        <v>445.12</v>
      </c>
      <c r="E83" s="113"/>
      <c r="F83" s="231"/>
      <c r="G83" s="231"/>
    </row>
    <row r="84" spans="3:7" ht="14.25" customHeight="1" outlineLevel="2">
      <c r="C84" s="113" t="s">
        <v>194</v>
      </c>
      <c r="D84" s="232">
        <f>E136*1942</f>
        <v>32.11960999677769</v>
      </c>
      <c r="E84" s="113" t="s">
        <v>374</v>
      </c>
      <c r="F84" s="231"/>
      <c r="G84" s="231"/>
    </row>
    <row r="85" spans="3:7" ht="14.25" customHeight="1" outlineLevel="1">
      <c r="C85" s="44" t="s">
        <v>376</v>
      </c>
      <c r="D85" s="232">
        <f>SUBTOTAL(9,D84:D84)</f>
        <v>32.11960999677769</v>
      </c>
      <c r="E85" s="113"/>
      <c r="F85" s="231"/>
      <c r="G85" s="231"/>
    </row>
    <row r="86" spans="3:7" ht="14.25" customHeight="1" outlineLevel="2">
      <c r="C86" s="113" t="s">
        <v>164</v>
      </c>
      <c r="D86" s="232">
        <f>$H$74*F86</f>
        <v>445.12</v>
      </c>
      <c r="E86" s="113" t="s">
        <v>386</v>
      </c>
      <c r="F86" s="231">
        <v>1</v>
      </c>
      <c r="G86" s="231" t="s">
        <v>318</v>
      </c>
    </row>
    <row r="87" spans="3:7" ht="14.25" customHeight="1" outlineLevel="1">
      <c r="C87" s="44" t="s">
        <v>355</v>
      </c>
      <c r="D87" s="232">
        <f>SUBTOTAL(9,D86:D86)</f>
        <v>445.12</v>
      </c>
      <c r="E87" s="113"/>
      <c r="F87" s="231"/>
      <c r="G87" s="231"/>
    </row>
    <row r="88" spans="3:7" ht="14.25" customHeight="1" outlineLevel="2">
      <c r="C88" s="113" t="s">
        <v>165</v>
      </c>
      <c r="D88" s="232">
        <f>$H$74*F88</f>
        <v>890.24</v>
      </c>
      <c r="E88" s="113" t="s">
        <v>386</v>
      </c>
      <c r="F88" s="231">
        <v>2</v>
      </c>
      <c r="G88" s="231" t="s">
        <v>317</v>
      </c>
    </row>
    <row r="89" spans="3:7" ht="14.25" customHeight="1" outlineLevel="2">
      <c r="C89" s="113" t="s">
        <v>165</v>
      </c>
      <c r="D89" s="232">
        <f>E137*1942</f>
        <v>340.39149483910978</v>
      </c>
      <c r="E89" s="113" t="s">
        <v>374</v>
      </c>
      <c r="F89" s="231"/>
      <c r="G89" s="231"/>
    </row>
    <row r="90" spans="3:7" ht="14.25" customHeight="1" outlineLevel="1">
      <c r="C90" s="44" t="s">
        <v>356</v>
      </c>
      <c r="D90" s="232">
        <f>SUBTOTAL(9,D88:D89)</f>
        <v>1230.6314948391098</v>
      </c>
      <c r="E90" s="113"/>
      <c r="F90" s="231"/>
      <c r="G90" s="231"/>
    </row>
    <row r="91" spans="3:7" outlineLevel="2">
      <c r="C91" s="113" t="s">
        <v>285</v>
      </c>
      <c r="D91" s="232">
        <f>$H$74*F91</f>
        <v>4006.08</v>
      </c>
      <c r="E91" s="113" t="s">
        <v>389</v>
      </c>
      <c r="F91" s="231">
        <v>9</v>
      </c>
      <c r="G91" s="231" t="s">
        <v>335</v>
      </c>
    </row>
    <row r="92" spans="3:7" outlineLevel="2">
      <c r="C92" s="113" t="s">
        <v>285</v>
      </c>
      <c r="D92" s="232">
        <f>E138*1942</f>
        <v>1088.0799652129322</v>
      </c>
      <c r="E92" s="113" t="s">
        <v>374</v>
      </c>
      <c r="F92" s="231"/>
      <c r="G92" s="231"/>
    </row>
    <row r="93" spans="3:7" outlineLevel="1">
      <c r="C93" s="44" t="s">
        <v>357</v>
      </c>
      <c r="D93" s="232">
        <f>SUBTOTAL(9,D91:D92)</f>
        <v>5094.1599652129316</v>
      </c>
      <c r="E93" s="113"/>
      <c r="F93" s="231"/>
      <c r="G93" s="231"/>
    </row>
    <row r="94" spans="3:7" outlineLevel="2">
      <c r="C94" s="113" t="s">
        <v>167</v>
      </c>
      <c r="D94" s="232">
        <f>$H$74*F94</f>
        <v>445.12</v>
      </c>
      <c r="E94" s="113" t="s">
        <v>386</v>
      </c>
      <c r="F94" s="231">
        <v>1</v>
      </c>
      <c r="G94" s="231" t="s">
        <v>318</v>
      </c>
    </row>
    <row r="95" spans="3:7" outlineLevel="1">
      <c r="C95" s="44" t="s">
        <v>358</v>
      </c>
      <c r="D95" s="232">
        <f>SUBTOTAL(9,D94:D94)</f>
        <v>445.12</v>
      </c>
      <c r="E95" s="113"/>
      <c r="F95" s="231"/>
      <c r="G95" s="231"/>
    </row>
    <row r="96" spans="3:7" outlineLevel="2">
      <c r="C96" s="113" t="s">
        <v>211</v>
      </c>
      <c r="D96" s="232">
        <f>$H$74*F96</f>
        <v>445.12</v>
      </c>
      <c r="E96" s="113" t="s">
        <v>386</v>
      </c>
      <c r="F96" s="231">
        <v>1</v>
      </c>
      <c r="G96" s="231" t="s">
        <v>318</v>
      </c>
    </row>
    <row r="97" spans="3:7" outlineLevel="1">
      <c r="C97" s="44" t="s">
        <v>359</v>
      </c>
      <c r="D97" s="232">
        <f>SUBTOTAL(9,D96:D96)</f>
        <v>445.12</v>
      </c>
      <c r="E97" s="113"/>
      <c r="F97" s="231"/>
      <c r="G97" s="231"/>
    </row>
    <row r="98" spans="3:7" outlineLevel="2">
      <c r="C98" s="113" t="s">
        <v>169</v>
      </c>
      <c r="D98" s="232">
        <f t="shared" ref="D98:D126" si="7">$H$74*F98</f>
        <v>890.24</v>
      </c>
      <c r="E98" s="113" t="s">
        <v>386</v>
      </c>
      <c r="F98" s="231">
        <v>2</v>
      </c>
      <c r="G98" s="231" t="s">
        <v>317</v>
      </c>
    </row>
    <row r="99" spans="3:7" outlineLevel="1">
      <c r="C99" s="44" t="s">
        <v>360</v>
      </c>
      <c r="D99" s="232">
        <f>SUBTOTAL(9,D98:D98)</f>
        <v>890.24</v>
      </c>
      <c r="E99" s="113"/>
      <c r="F99" s="231"/>
      <c r="G99" s="231"/>
    </row>
    <row r="100" spans="3:7" outlineLevel="2">
      <c r="C100" s="113" t="s">
        <v>214</v>
      </c>
      <c r="D100" s="232">
        <f>E139*1942</f>
        <v>132.8100622633076</v>
      </c>
      <c r="E100" s="113" t="s">
        <v>374</v>
      </c>
      <c r="F100" s="231"/>
      <c r="G100" s="231"/>
    </row>
    <row r="101" spans="3:7" outlineLevel="1">
      <c r="C101" s="44" t="s">
        <v>377</v>
      </c>
      <c r="D101" s="232">
        <f>SUBTOTAL(9,D100:D100)</f>
        <v>132.8100622633076</v>
      </c>
      <c r="E101" s="113"/>
      <c r="F101" s="231"/>
      <c r="G101" s="231"/>
    </row>
    <row r="102" spans="3:7" outlineLevel="2">
      <c r="C102" s="113" t="s">
        <v>170</v>
      </c>
      <c r="D102" s="232">
        <f t="shared" si="7"/>
        <v>890.24</v>
      </c>
      <c r="E102" s="113" t="s">
        <v>386</v>
      </c>
      <c r="F102" s="231">
        <v>2</v>
      </c>
      <c r="G102" s="231" t="s">
        <v>317</v>
      </c>
    </row>
    <row r="103" spans="3:7" outlineLevel="2">
      <c r="C103" s="113" t="s">
        <v>170</v>
      </c>
      <c r="D103" s="232">
        <v>32079</v>
      </c>
      <c r="E103" s="113" t="s">
        <v>342</v>
      </c>
      <c r="F103" s="231"/>
      <c r="G103" s="231"/>
    </row>
    <row r="104" spans="3:7" outlineLevel="2">
      <c r="C104" s="113" t="s">
        <v>170</v>
      </c>
      <c r="D104" s="232">
        <f>E140*1942</f>
        <v>348.59886768787266</v>
      </c>
      <c r="E104" s="113" t="s">
        <v>374</v>
      </c>
      <c r="F104" s="231"/>
      <c r="G104" s="231"/>
    </row>
    <row r="105" spans="3:7" outlineLevel="1">
      <c r="C105" s="44" t="s">
        <v>361</v>
      </c>
      <c r="D105" s="232">
        <f>SUBTOTAL(9,D102:D104)</f>
        <v>33317.838867687868</v>
      </c>
      <c r="E105" s="113"/>
      <c r="F105" s="231"/>
      <c r="G105" s="231"/>
    </row>
    <row r="106" spans="3:7" outlineLevel="2">
      <c r="C106" s="113" t="s">
        <v>171</v>
      </c>
      <c r="D106" s="232">
        <f t="shared" si="7"/>
        <v>890.24</v>
      </c>
      <c r="E106" s="113" t="s">
        <v>386</v>
      </c>
      <c r="F106" s="231">
        <v>2</v>
      </c>
      <c r="G106" s="231" t="s">
        <v>318</v>
      </c>
    </row>
    <row r="107" spans="3:7" outlineLevel="2">
      <c r="C107" s="113" t="s">
        <v>171</v>
      </c>
      <c r="D107" s="232">
        <v>34217.599999999999</v>
      </c>
      <c r="E107" s="113" t="s">
        <v>342</v>
      </c>
      <c r="F107" s="231"/>
      <c r="G107" s="231"/>
    </row>
    <row r="108" spans="3:7" outlineLevel="1">
      <c r="C108" s="44" t="s">
        <v>362</v>
      </c>
      <c r="D108" s="232">
        <f>SUBTOTAL(9,D106:D107)</f>
        <v>35107.839999999997</v>
      </c>
      <c r="E108" s="113"/>
      <c r="F108" s="231"/>
      <c r="G108" s="231"/>
    </row>
    <row r="109" spans="3:7" outlineLevel="2">
      <c r="C109" s="113" t="s">
        <v>218</v>
      </c>
      <c r="D109" s="232">
        <f t="shared" si="7"/>
        <v>445.12</v>
      </c>
      <c r="E109" s="113" t="s">
        <v>386</v>
      </c>
      <c r="F109" s="231">
        <v>1</v>
      </c>
      <c r="G109" s="231" t="s">
        <v>318</v>
      </c>
    </row>
    <row r="110" spans="3:7" outlineLevel="1">
      <c r="C110" s="44" t="s">
        <v>363</v>
      </c>
      <c r="D110" s="232">
        <f>SUBTOTAL(9,D109:D109)</f>
        <v>445.12</v>
      </c>
      <c r="E110" s="113"/>
      <c r="F110" s="231"/>
      <c r="G110" s="231"/>
    </row>
    <row r="111" spans="3:7" outlineLevel="2">
      <c r="C111" s="113" t="s">
        <v>172</v>
      </c>
      <c r="D111" s="232">
        <f t="shared" si="7"/>
        <v>445.12</v>
      </c>
      <c r="E111" s="113" t="s">
        <v>386</v>
      </c>
      <c r="F111" s="231">
        <v>1</v>
      </c>
      <c r="G111" s="231" t="s">
        <v>318</v>
      </c>
    </row>
    <row r="112" spans="3:7" outlineLevel="1">
      <c r="C112" s="44" t="s">
        <v>364</v>
      </c>
      <c r="D112" s="232">
        <f>SUBTOTAL(9,D111:D111)</f>
        <v>445.12</v>
      </c>
      <c r="E112" s="113"/>
      <c r="F112" s="231"/>
      <c r="G112" s="231"/>
    </row>
    <row r="113" spans="3:9" outlineLevel="2">
      <c r="C113" s="113" t="s">
        <v>173</v>
      </c>
      <c r="D113" s="232">
        <f t="shared" si="7"/>
        <v>445.12</v>
      </c>
      <c r="E113" s="113" t="s">
        <v>386</v>
      </c>
      <c r="F113" s="231">
        <v>1</v>
      </c>
      <c r="G113" s="231" t="s">
        <v>318</v>
      </c>
    </row>
    <row r="114" spans="3:9" outlineLevel="1">
      <c r="C114" s="44" t="s">
        <v>365</v>
      </c>
      <c r="D114" s="232">
        <f>SUBTOTAL(9,D113:D113)</f>
        <v>445.12</v>
      </c>
      <c r="E114" s="113"/>
      <c r="F114" s="231"/>
      <c r="G114" s="231"/>
    </row>
    <row r="115" spans="3:9" outlineLevel="2">
      <c r="C115" s="113" t="s">
        <v>174</v>
      </c>
      <c r="D115" s="232">
        <f t="shared" si="7"/>
        <v>1335.3600000000001</v>
      </c>
      <c r="E115" s="113" t="s">
        <v>388</v>
      </c>
      <c r="F115" s="231">
        <v>3</v>
      </c>
      <c r="G115" s="231" t="s">
        <v>387</v>
      </c>
    </row>
    <row r="116" spans="3:9" outlineLevel="2">
      <c r="C116" s="113" t="s">
        <v>343</v>
      </c>
      <c r="D116" s="232">
        <v>26732.5</v>
      </c>
      <c r="E116" s="113" t="s">
        <v>342</v>
      </c>
      <c r="F116" s="231"/>
      <c r="G116" s="231"/>
    </row>
    <row r="117" spans="3:9" outlineLevel="1">
      <c r="C117" s="44" t="s">
        <v>366</v>
      </c>
      <c r="D117" s="232">
        <f>SUBTOTAL(9,D115:D116)</f>
        <v>28067.86</v>
      </c>
      <c r="E117" s="113"/>
      <c r="F117" s="231"/>
      <c r="G117" s="231"/>
    </row>
    <row r="118" spans="3:9" outlineLevel="2">
      <c r="C118" s="113" t="s">
        <v>175</v>
      </c>
      <c r="D118" s="232">
        <f t="shared" si="7"/>
        <v>1780.48</v>
      </c>
      <c r="E118" s="113" t="s">
        <v>389</v>
      </c>
      <c r="F118" s="231">
        <v>4</v>
      </c>
      <c r="G118" s="231" t="s">
        <v>335</v>
      </c>
    </row>
    <row r="119" spans="3:9" outlineLevel="1">
      <c r="C119" s="44" t="s">
        <v>367</v>
      </c>
      <c r="D119" s="232">
        <f>SUBTOTAL(9,D118:D118)</f>
        <v>1780.48</v>
      </c>
      <c r="E119" s="113"/>
      <c r="F119" s="231"/>
      <c r="G119" s="231"/>
    </row>
    <row r="120" spans="3:9" outlineLevel="2">
      <c r="C120" s="113" t="s">
        <v>226</v>
      </c>
      <c r="D120" s="232">
        <f t="shared" si="7"/>
        <v>890.24</v>
      </c>
      <c r="E120" s="113" t="s">
        <v>386</v>
      </c>
      <c r="F120" s="231">
        <v>2</v>
      </c>
      <c r="G120" s="231" t="s">
        <v>317</v>
      </c>
    </row>
    <row r="121" spans="3:9" outlineLevel="1">
      <c r="C121" s="44" t="s">
        <v>368</v>
      </c>
      <c r="D121" s="232">
        <f>SUBTOTAL(9,D120:D120)</f>
        <v>890.24</v>
      </c>
      <c r="E121" s="113"/>
      <c r="F121" s="231"/>
      <c r="G121" s="231"/>
    </row>
    <row r="122" spans="3:9" outlineLevel="2">
      <c r="C122" s="113" t="s">
        <v>227</v>
      </c>
      <c r="D122" s="232">
        <f t="shared" si="7"/>
        <v>445.12</v>
      </c>
      <c r="E122" s="113" t="s">
        <v>386</v>
      </c>
      <c r="F122" s="231">
        <v>1</v>
      </c>
      <c r="G122" s="231" t="s">
        <v>318</v>
      </c>
    </row>
    <row r="123" spans="3:9" ht="14.4" outlineLevel="1" thickBot="1">
      <c r="C123" s="44" t="s">
        <v>369</v>
      </c>
      <c r="D123" s="232">
        <f>SUBTOTAL(9,D122:D122)</f>
        <v>445.12</v>
      </c>
      <c r="E123" s="113"/>
      <c r="F123" s="231"/>
      <c r="G123" s="231"/>
    </row>
    <row r="124" spans="3:9" ht="14.4" outlineLevel="2" thickBot="1">
      <c r="C124" s="113" t="s">
        <v>176</v>
      </c>
      <c r="D124" s="232">
        <f t="shared" si="7"/>
        <v>445.12</v>
      </c>
      <c r="E124" s="113" t="s">
        <v>386</v>
      </c>
      <c r="F124" s="231">
        <v>1</v>
      </c>
      <c r="G124" s="231" t="s">
        <v>318</v>
      </c>
      <c r="I124" s="115"/>
    </row>
    <row r="125" spans="3:9" outlineLevel="1">
      <c r="C125" s="44" t="s">
        <v>370</v>
      </c>
      <c r="D125" s="232">
        <f>SUBTOTAL(9,D124:D124)</f>
        <v>445.12</v>
      </c>
      <c r="E125" s="113"/>
      <c r="F125" s="231"/>
      <c r="G125" s="231"/>
    </row>
    <row r="126" spans="3:9" ht="15" customHeight="1" outlineLevel="2">
      <c r="C126" s="113" t="s">
        <v>177</v>
      </c>
      <c r="D126" s="232">
        <f t="shared" si="7"/>
        <v>445.12</v>
      </c>
      <c r="E126" s="113" t="s">
        <v>386</v>
      </c>
      <c r="F126" s="231">
        <v>1</v>
      </c>
      <c r="G126" s="231" t="s">
        <v>318</v>
      </c>
    </row>
    <row r="127" spans="3:9" ht="15" customHeight="1" outlineLevel="1">
      <c r="C127" s="44" t="s">
        <v>371</v>
      </c>
      <c r="D127" s="232">
        <f>SUBTOTAL(9,D126:D126)</f>
        <v>445.12</v>
      </c>
      <c r="E127" s="113"/>
      <c r="F127" s="231"/>
      <c r="G127" s="231"/>
    </row>
    <row r="128" spans="3:9" s="292" customFormat="1" ht="15" customHeight="1">
      <c r="C128" s="293" t="s">
        <v>372</v>
      </c>
      <c r="D128" s="294">
        <f>SUBTOTAL(9,D77:D126)</f>
        <v>127121.91999999997</v>
      </c>
      <c r="E128" s="293"/>
      <c r="F128" s="295">
        <f>SUM(F77:F127)</f>
        <v>41</v>
      </c>
      <c r="G128" s="295"/>
    </row>
    <row r="129" spans="3:5">
      <c r="C129" s="113"/>
    </row>
    <row r="130" spans="3:5">
      <c r="C130" s="1"/>
    </row>
    <row r="135" spans="3:5">
      <c r="C135" s="1" t="s">
        <v>373</v>
      </c>
    </row>
    <row r="136" spans="3:5">
      <c r="C136" s="158" t="s">
        <v>194</v>
      </c>
      <c r="D136" s="296">
        <f>'MORE Formula w 3-yr Avg ''22-''24'!G13</f>
        <v>19094</v>
      </c>
      <c r="E136" s="298">
        <f>D136/$D$141</f>
        <v>1.6539449019967914E-2</v>
      </c>
    </row>
    <row r="137" spans="3:5">
      <c r="C137" s="158" t="s">
        <v>203</v>
      </c>
      <c r="D137" s="296">
        <f>'MORE Formula w 3-yr Avg ''22-''24'!G22</f>
        <v>202351</v>
      </c>
      <c r="E137" s="298">
        <f t="shared" ref="E137:E140" si="8">D137/$D$141</f>
        <v>0.17527883359377436</v>
      </c>
    </row>
    <row r="138" spans="3:5">
      <c r="C138" s="158" t="s">
        <v>166</v>
      </c>
      <c r="D138" s="296">
        <f>'MORE Formula w 3-yr Avg ''22-''24'!G31</f>
        <v>646826</v>
      </c>
      <c r="E138" s="298">
        <f t="shared" si="8"/>
        <v>0.5602883445998621</v>
      </c>
    </row>
    <row r="139" spans="3:5">
      <c r="C139" s="158" t="s">
        <v>214</v>
      </c>
      <c r="D139" s="296">
        <f>'MORE Formula w 3-yr Avg ''22-''24'!G41</f>
        <v>78951</v>
      </c>
      <c r="E139" s="298">
        <f t="shared" si="8"/>
        <v>6.838829158769702E-2</v>
      </c>
    </row>
    <row r="140" spans="3:5">
      <c r="C140" s="158" t="s">
        <v>170</v>
      </c>
      <c r="D140" s="296">
        <f>'MORE Formula w 3-yr Avg ''22-''24'!G43</f>
        <v>207230</v>
      </c>
      <c r="E140" s="298">
        <f t="shared" si="8"/>
        <v>0.1795050811986986</v>
      </c>
    </row>
    <row r="141" spans="3:5">
      <c r="D141" s="297">
        <f>SUM(D136:D140)</f>
        <v>1154452</v>
      </c>
    </row>
  </sheetData>
  <mergeCells count="3">
    <mergeCell ref="J6:K6"/>
    <mergeCell ref="J7:K7"/>
    <mergeCell ref="A3:C3"/>
  </mergeCells>
  <phoneticPr fontId="0" type="noConversion"/>
  <pageMargins left="0.48" right="0.48" top="0.6" bottom="0.6" header="0.37" footer="0.26"/>
  <pageSetup scale="57" fitToHeight="2" orientation="portrait" verticalDpi="300" r:id="rId1"/>
  <headerFooter>
    <oddHeader>&amp;C&amp;K0000002026 Preliminary MORE Budget</oddHead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AJ73"/>
  <sheetViews>
    <sheetView showRuler="0" zoomScaleNormal="100" zoomScalePageLayoutView="96" workbookViewId="0"/>
  </sheetViews>
  <sheetFormatPr defaultColWidth="8" defaultRowHeight="13.2"/>
  <cols>
    <col min="1" max="1" width="3.69921875" style="72" customWidth="1"/>
    <col min="2" max="4" width="11.69921875" style="72" customWidth="1"/>
    <col min="5" max="5" width="10.09765625" style="72" bestFit="1" customWidth="1"/>
    <col min="6" max="7" width="10.3984375" style="72" bestFit="1" customWidth="1"/>
    <col min="8" max="8" width="11.19921875" style="72" customWidth="1"/>
    <col min="9" max="10" width="9.8984375" style="72" customWidth="1"/>
    <col min="11" max="11" width="8.3984375" style="72" customWidth="1"/>
    <col min="12" max="12" width="10.09765625" style="72" customWidth="1"/>
    <col min="13" max="13" width="8.8984375" style="72" bestFit="1" customWidth="1"/>
    <col min="14" max="14" width="11.3984375" style="72" customWidth="1"/>
    <col min="15" max="15" width="9.19921875" style="72" bestFit="1" customWidth="1"/>
    <col min="16" max="16" width="9.19921875" style="72" customWidth="1"/>
    <col min="17" max="17" width="8.69921875" style="72" bestFit="1" customWidth="1"/>
    <col min="18" max="18" width="7" style="72" customWidth="1"/>
    <col min="19" max="19" width="0.69921875" style="72" customWidth="1"/>
    <col min="20" max="20" width="9.3984375" style="72" bestFit="1" customWidth="1"/>
    <col min="21" max="22" width="7.3984375" style="72" customWidth="1"/>
    <col min="23" max="23" width="9.3984375" style="72" bestFit="1" customWidth="1"/>
    <col min="24" max="24" width="9.09765625" style="72" customWidth="1"/>
    <col min="25" max="25" width="8" style="72"/>
    <col min="26" max="27" width="11.19921875" style="72" bestFit="1" customWidth="1"/>
    <col min="28" max="29" width="10" style="72" customWidth="1"/>
    <col min="30" max="32" width="8" style="72"/>
    <col min="33" max="34" width="7.69921875" style="72" customWidth="1"/>
    <col min="35" max="35" width="9.09765625" style="72" customWidth="1"/>
    <col min="36" max="16384" width="8" style="72"/>
  </cols>
  <sheetData>
    <row r="1" spans="1:36" ht="15" customHeight="1">
      <c r="B1" s="71" t="s">
        <v>438</v>
      </c>
      <c r="C1" s="71"/>
      <c r="D1" s="71"/>
      <c r="K1" s="71" t="s">
        <v>179</v>
      </c>
      <c r="M1" s="171">
        <v>156000</v>
      </c>
      <c r="N1" s="246"/>
      <c r="O1" s="128"/>
      <c r="U1" s="71"/>
      <c r="V1" s="71"/>
    </row>
    <row r="2" spans="1:36">
      <c r="B2" s="71" t="s">
        <v>447</v>
      </c>
      <c r="C2" s="71"/>
      <c r="D2" s="71"/>
      <c r="K2" s="133" t="s">
        <v>180</v>
      </c>
      <c r="M2" s="172">
        <v>1750</v>
      </c>
      <c r="N2" s="246" t="s">
        <v>315</v>
      </c>
      <c r="O2" s="128"/>
    </row>
    <row r="3" spans="1:36">
      <c r="F3" s="74" t="s">
        <v>300</v>
      </c>
      <c r="K3" s="71" t="s">
        <v>297</v>
      </c>
      <c r="M3" s="235">
        <v>15000</v>
      </c>
      <c r="N3" s="71"/>
    </row>
    <row r="4" spans="1:36" ht="13.8" thickBot="1">
      <c r="A4" s="71"/>
      <c r="B4" s="71"/>
      <c r="C4" s="71"/>
      <c r="D4" s="71"/>
      <c r="F4" s="74" t="s">
        <v>181</v>
      </c>
      <c r="G4" s="74" t="s">
        <v>182</v>
      </c>
      <c r="H4" s="74" t="s">
        <v>183</v>
      </c>
      <c r="AF4" s="74"/>
    </row>
    <row r="5" spans="1:36" ht="13.8" thickBot="1">
      <c r="C5" s="71" t="s">
        <v>401</v>
      </c>
      <c r="E5" s="132">
        <f>'2026 Preliminary budget'!H43</f>
        <v>1274741.49</v>
      </c>
      <c r="F5" s="224">
        <f>M1-(92750)-M3</f>
        <v>48250</v>
      </c>
      <c r="G5" s="173">
        <f>E5-F5</f>
        <v>1226491.49</v>
      </c>
      <c r="H5" s="174">
        <f>'2026 Preliminary budget'!H36</f>
        <v>252963.15</v>
      </c>
      <c r="L5" s="74">
        <v>10</v>
      </c>
      <c r="M5" s="74">
        <v>11</v>
      </c>
      <c r="N5" s="74">
        <v>12</v>
      </c>
      <c r="O5" s="74">
        <v>13</v>
      </c>
      <c r="P5" s="74">
        <v>14</v>
      </c>
      <c r="Q5" s="74">
        <v>15</v>
      </c>
      <c r="R5" s="74">
        <v>16</v>
      </c>
      <c r="AF5" s="74"/>
    </row>
    <row r="6" spans="1:36" ht="12" customHeight="1" thickBot="1">
      <c r="E6" s="73"/>
      <c r="F6" s="279" t="s">
        <v>402</v>
      </c>
      <c r="G6" s="80">
        <f>M63</f>
        <v>92750</v>
      </c>
      <c r="L6" s="304" t="s">
        <v>443</v>
      </c>
      <c r="M6" s="305"/>
      <c r="N6" s="305"/>
      <c r="O6" s="305"/>
      <c r="P6" s="305"/>
      <c r="Q6" s="305"/>
      <c r="R6" s="306"/>
      <c r="T6" s="74">
        <v>17</v>
      </c>
      <c r="U6" s="74">
        <v>18</v>
      </c>
      <c r="V6" s="74">
        <v>19</v>
      </c>
      <c r="W6" s="74">
        <v>20</v>
      </c>
      <c r="X6" s="74">
        <v>21</v>
      </c>
      <c r="AE6" s="254"/>
      <c r="AF6" s="272"/>
    </row>
    <row r="7" spans="1:36" ht="12.75" customHeight="1" thickBot="1">
      <c r="C7" s="74">
        <v>1</v>
      </c>
      <c r="D7" s="74">
        <v>2</v>
      </c>
      <c r="E7" s="74">
        <v>3</v>
      </c>
      <c r="F7" s="74">
        <v>4</v>
      </c>
      <c r="G7" s="74">
        <v>5</v>
      </c>
      <c r="H7" s="74">
        <v>6</v>
      </c>
      <c r="I7" s="74">
        <v>7</v>
      </c>
      <c r="J7" s="74">
        <v>8</v>
      </c>
      <c r="K7" s="74">
        <v>9</v>
      </c>
      <c r="L7" s="307" t="s">
        <v>184</v>
      </c>
      <c r="M7" s="308"/>
      <c r="N7" s="308"/>
      <c r="O7" s="308"/>
      <c r="P7" s="308"/>
      <c r="Q7" s="308"/>
      <c r="R7" s="309"/>
      <c r="T7" s="304" t="s">
        <v>444</v>
      </c>
      <c r="U7" s="305"/>
      <c r="V7" s="305"/>
      <c r="W7" s="305"/>
      <c r="X7" s="306"/>
      <c r="AB7" s="273"/>
      <c r="AE7" s="254"/>
    </row>
    <row r="8" spans="1:36" s="75" customFormat="1" ht="40.200000000000003" thickBot="1">
      <c r="B8" s="75" t="s">
        <v>185</v>
      </c>
      <c r="C8" s="271" t="s">
        <v>338</v>
      </c>
      <c r="D8" s="76" t="s">
        <v>379</v>
      </c>
      <c r="E8" s="76" t="s">
        <v>439</v>
      </c>
      <c r="F8" s="76" t="s">
        <v>186</v>
      </c>
      <c r="G8" s="76" t="s">
        <v>440</v>
      </c>
      <c r="H8" s="76" t="s">
        <v>187</v>
      </c>
      <c r="I8" s="288" t="s">
        <v>441</v>
      </c>
      <c r="J8" s="76" t="s">
        <v>313</v>
      </c>
      <c r="K8" s="76" t="s">
        <v>314</v>
      </c>
      <c r="L8" s="259" t="s">
        <v>442</v>
      </c>
      <c r="M8" s="260" t="s">
        <v>188</v>
      </c>
      <c r="N8" s="260" t="s">
        <v>296</v>
      </c>
      <c r="O8" s="261" t="s">
        <v>189</v>
      </c>
      <c r="P8" s="262" t="s">
        <v>190</v>
      </c>
      <c r="Q8" s="260" t="s">
        <v>191</v>
      </c>
      <c r="R8" s="263" t="s">
        <v>192</v>
      </c>
      <c r="S8" s="76"/>
      <c r="T8" s="192" t="s">
        <v>445</v>
      </c>
      <c r="U8" s="191" t="s">
        <v>188</v>
      </c>
      <c r="V8" s="76" t="s">
        <v>296</v>
      </c>
      <c r="W8" s="191" t="s">
        <v>189</v>
      </c>
      <c r="X8" s="228" t="s">
        <v>190</v>
      </c>
      <c r="Z8" s="76"/>
      <c r="AA8" s="271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5.75" customHeight="1">
      <c r="A9" s="96">
        <v>1</v>
      </c>
      <c r="B9" s="72" t="s">
        <v>161</v>
      </c>
      <c r="C9" s="269">
        <v>187439</v>
      </c>
      <c r="D9" s="269">
        <v>200979</v>
      </c>
      <c r="E9" s="280">
        <v>53554</v>
      </c>
      <c r="F9" s="175">
        <f t="shared" ref="F9:F42" si="0">E9/$E$63</f>
        <v>3.9230998011858524E-2</v>
      </c>
      <c r="G9" s="201">
        <v>138474</v>
      </c>
      <c r="H9" s="175">
        <f t="shared" ref="H9:H42" si="1">G9/$G$63</f>
        <v>4.3268351959924421E-2</v>
      </c>
      <c r="I9" s="201">
        <f>G9+E9</f>
        <v>192028</v>
      </c>
      <c r="J9" s="270">
        <f>ROUND((C9+D9+I9)/3,0)</f>
        <v>193482</v>
      </c>
      <c r="K9" s="177">
        <f t="shared" ref="K9:K42" si="2">J9/$J$63</f>
        <v>4.281123621809077E-2</v>
      </c>
      <c r="L9" s="77">
        <f>ROUND(K9*$G$5,0)</f>
        <v>52508</v>
      </c>
      <c r="M9" s="197">
        <f>IF(L9&lt;(M2*2), L9/2,$M$2)</f>
        <v>1750</v>
      </c>
      <c r="N9" s="197"/>
      <c r="O9" s="178">
        <f>L9-M9-N9</f>
        <v>50758</v>
      </c>
      <c r="P9" s="179">
        <f>ROUND(K9*$H$5,0)</f>
        <v>10830</v>
      </c>
      <c r="Q9" s="197">
        <f t="shared" ref="Q9:Q62" si="3">O9-W9</f>
        <v>3250</v>
      </c>
      <c r="R9" s="180">
        <f>(O9-W9)/W9</f>
        <v>6.8409531026353457E-2</v>
      </c>
      <c r="S9" s="78"/>
      <c r="T9" s="193">
        <v>49258</v>
      </c>
      <c r="U9" s="196">
        <v>1750</v>
      </c>
      <c r="V9" s="196"/>
      <c r="W9" s="197">
        <v>47508</v>
      </c>
      <c r="X9" s="229">
        <v>10705</v>
      </c>
      <c r="Z9" s="176"/>
      <c r="AA9" s="255"/>
      <c r="AB9" s="80"/>
      <c r="AC9" s="80"/>
      <c r="AD9" s="256"/>
      <c r="AE9" s="80"/>
      <c r="AF9" s="256"/>
      <c r="AG9" s="256"/>
      <c r="AH9" s="255"/>
      <c r="AI9" s="80"/>
    </row>
    <row r="10" spans="1:36" ht="12.75" customHeight="1">
      <c r="A10" s="96">
        <v>2</v>
      </c>
      <c r="B10" s="128" t="s">
        <v>162</v>
      </c>
      <c r="C10" s="269">
        <v>96933</v>
      </c>
      <c r="D10" s="269">
        <v>102964</v>
      </c>
      <c r="E10" s="207">
        <v>29607</v>
      </c>
      <c r="F10" s="175">
        <f t="shared" si="0"/>
        <v>2.1688616315066949E-2</v>
      </c>
      <c r="G10" s="201">
        <v>76292</v>
      </c>
      <c r="H10" s="175">
        <f t="shared" si="1"/>
        <v>2.3838620302197914E-2</v>
      </c>
      <c r="I10" s="201">
        <f t="shared" ref="I10:I62" si="4">G10+E10</f>
        <v>105899</v>
      </c>
      <c r="J10" s="270">
        <f t="shared" ref="J10:J62" si="5">ROUND((C10+D10+I10)/3,0)</f>
        <v>101932</v>
      </c>
      <c r="K10" s="177">
        <f t="shared" si="2"/>
        <v>2.2554216568892341E-2</v>
      </c>
      <c r="L10" s="79">
        <f>ROUND(K10*$G$5,0)</f>
        <v>27663</v>
      </c>
      <c r="M10" s="196">
        <f>IF(L10&lt;($M$2*2), L10/2,$M$2)</f>
        <v>1750</v>
      </c>
      <c r="N10" s="196"/>
      <c r="O10" s="240">
        <f>L10-M10-N10</f>
        <v>25913</v>
      </c>
      <c r="P10" s="118">
        <f t="shared" ref="P10:P40" si="6">ROUND(K10*$H$5,0)</f>
        <v>5705</v>
      </c>
      <c r="Q10" s="80">
        <f t="shared" si="3"/>
        <v>2177</v>
      </c>
      <c r="R10" s="181">
        <f>(O10-W10)/W10</f>
        <v>9.1717222783956859E-2</v>
      </c>
      <c r="S10" s="78"/>
      <c r="T10" s="194">
        <v>25486</v>
      </c>
      <c r="U10" s="196">
        <v>1750</v>
      </c>
      <c r="V10" s="196"/>
      <c r="W10" s="195">
        <v>23736</v>
      </c>
      <c r="X10" s="230">
        <v>5539</v>
      </c>
      <c r="Z10" s="176"/>
      <c r="AA10" s="255"/>
      <c r="AB10" s="80"/>
      <c r="AC10" s="80"/>
      <c r="AD10" s="256"/>
      <c r="AE10" s="80"/>
      <c r="AF10" s="256"/>
      <c r="AG10" s="256"/>
      <c r="AH10" s="255"/>
      <c r="AI10" s="80"/>
    </row>
    <row r="11" spans="1:36">
      <c r="A11" s="96">
        <v>3</v>
      </c>
      <c r="B11" s="128" t="s">
        <v>193</v>
      </c>
      <c r="C11" s="269">
        <v>36569</v>
      </c>
      <c r="D11" s="269">
        <v>36711</v>
      </c>
      <c r="E11" s="207">
        <v>16686</v>
      </c>
      <c r="F11" s="175">
        <f t="shared" si="0"/>
        <v>1.2223334070767288E-2</v>
      </c>
      <c r="G11" s="201">
        <v>15899</v>
      </c>
      <c r="H11" s="175">
        <f t="shared" si="1"/>
        <v>4.9678894796917712E-3</v>
      </c>
      <c r="I11" s="201">
        <f t="shared" si="4"/>
        <v>32585</v>
      </c>
      <c r="J11" s="270">
        <f t="shared" si="5"/>
        <v>35288</v>
      </c>
      <c r="K11" s="177">
        <f t="shared" si="2"/>
        <v>7.8080798403158281E-3</v>
      </c>
      <c r="L11" s="79">
        <f t="shared" ref="L11:L62" si="7">ROUND(K11*$G$5,0)</f>
        <v>9577</v>
      </c>
      <c r="M11" s="196">
        <f t="shared" ref="M11:M62" si="8">IF(L11&lt;($M$2*2), L11/2,$M$2)</f>
        <v>1750</v>
      </c>
      <c r="N11" s="196"/>
      <c r="O11" s="240">
        <f t="shared" ref="O11:O62" si="9">L11-M11-N11</f>
        <v>7827</v>
      </c>
      <c r="P11" s="118">
        <f t="shared" si="6"/>
        <v>1975</v>
      </c>
      <c r="Q11" s="80">
        <f t="shared" si="3"/>
        <v>173</v>
      </c>
      <c r="R11" s="181">
        <f>(O11-W11)/W11</f>
        <v>2.2602560752547688E-2</v>
      </c>
      <c r="S11" s="78"/>
      <c r="T11" s="194">
        <v>9404</v>
      </c>
      <c r="U11" s="196">
        <v>1750</v>
      </c>
      <c r="V11" s="196"/>
      <c r="W11" s="195">
        <v>7654</v>
      </c>
      <c r="X11" s="230">
        <v>2044</v>
      </c>
      <c r="Z11" s="176"/>
      <c r="AA11" s="255"/>
      <c r="AB11" s="80"/>
      <c r="AC11" s="80"/>
      <c r="AD11" s="256"/>
      <c r="AE11" s="80"/>
      <c r="AF11" s="256"/>
      <c r="AG11" s="256"/>
      <c r="AH11" s="255"/>
      <c r="AI11" s="80"/>
    </row>
    <row r="12" spans="1:36">
      <c r="A12" s="96">
        <v>4</v>
      </c>
      <c r="B12" s="128" t="s">
        <v>163</v>
      </c>
      <c r="C12" s="269">
        <v>74742</v>
      </c>
      <c r="D12" s="269">
        <v>82299</v>
      </c>
      <c r="E12" s="207">
        <v>31969</v>
      </c>
      <c r="F12" s="175">
        <f t="shared" si="0"/>
        <v>2.3418900090396707E-2</v>
      </c>
      <c r="G12" s="201">
        <v>52215</v>
      </c>
      <c r="H12" s="175">
        <f t="shared" si="1"/>
        <v>1.6315387708793375E-2</v>
      </c>
      <c r="I12" s="201">
        <f t="shared" si="4"/>
        <v>84184</v>
      </c>
      <c r="J12" s="270">
        <f t="shared" si="5"/>
        <v>80408</v>
      </c>
      <c r="K12" s="177">
        <f t="shared" si="2"/>
        <v>1.7791659595333117E-2</v>
      </c>
      <c r="L12" s="79">
        <f t="shared" si="7"/>
        <v>21821</v>
      </c>
      <c r="M12" s="196">
        <f t="shared" si="8"/>
        <v>1750</v>
      </c>
      <c r="N12" s="196"/>
      <c r="O12" s="240">
        <f t="shared" si="9"/>
        <v>20071</v>
      </c>
      <c r="P12" s="118">
        <f t="shared" si="6"/>
        <v>4501</v>
      </c>
      <c r="Q12" s="80">
        <f t="shared" si="3"/>
        <v>1668</v>
      </c>
      <c r="R12" s="181">
        <f>(O12-W12)/W12</f>
        <v>9.063739607672662E-2</v>
      </c>
      <c r="S12" s="78"/>
      <c r="T12" s="194">
        <v>20153</v>
      </c>
      <c r="U12" s="196">
        <v>1750</v>
      </c>
      <c r="V12" s="196"/>
      <c r="W12" s="195">
        <v>18403</v>
      </c>
      <c r="X12" s="230">
        <v>4380</v>
      </c>
      <c r="Z12" s="176"/>
      <c r="AA12" s="255"/>
      <c r="AB12" s="80"/>
      <c r="AC12" s="80"/>
      <c r="AD12" s="256"/>
      <c r="AE12" s="80"/>
      <c r="AF12" s="256"/>
      <c r="AG12" s="256"/>
      <c r="AH12" s="255"/>
      <c r="AI12" s="80"/>
    </row>
    <row r="13" spans="1:36">
      <c r="A13" s="96">
        <v>5</v>
      </c>
      <c r="B13" s="72" t="s">
        <v>194</v>
      </c>
      <c r="C13" s="269">
        <v>36155</v>
      </c>
      <c r="D13" s="269">
        <v>36834</v>
      </c>
      <c r="E13" s="207">
        <v>16532</v>
      </c>
      <c r="F13" s="175">
        <f t="shared" si="0"/>
        <v>1.2110521326736474E-2</v>
      </c>
      <c r="G13" s="201">
        <v>19094</v>
      </c>
      <c r="H13" s="175">
        <f t="shared" si="1"/>
        <v>5.9662168517035461E-3</v>
      </c>
      <c r="I13" s="201">
        <f t="shared" si="4"/>
        <v>35626</v>
      </c>
      <c r="J13" s="270">
        <f t="shared" si="5"/>
        <v>36205</v>
      </c>
      <c r="K13" s="177">
        <f t="shared" si="2"/>
        <v>8.0109819377305186E-3</v>
      </c>
      <c r="L13" s="79">
        <f t="shared" si="7"/>
        <v>9825</v>
      </c>
      <c r="M13" s="196">
        <f t="shared" si="8"/>
        <v>1750</v>
      </c>
      <c r="N13" s="196"/>
      <c r="O13" s="240">
        <f t="shared" si="9"/>
        <v>8075</v>
      </c>
      <c r="P13" s="118">
        <f t="shared" si="6"/>
        <v>2026</v>
      </c>
      <c r="Q13" s="80">
        <f t="shared" si="3"/>
        <v>453</v>
      </c>
      <c r="R13" s="181">
        <f>(O13-W13)/W13</f>
        <v>5.9433219627394382E-2</v>
      </c>
      <c r="S13" s="78"/>
      <c r="T13" s="194">
        <v>9372</v>
      </c>
      <c r="U13" s="196">
        <v>1750</v>
      </c>
      <c r="V13" s="196"/>
      <c r="W13" s="195">
        <v>7622</v>
      </c>
      <c r="X13" s="230">
        <v>2037</v>
      </c>
      <c r="Z13" s="176"/>
      <c r="AA13" s="255"/>
      <c r="AB13" s="80"/>
      <c r="AC13" s="80"/>
      <c r="AD13" s="256"/>
      <c r="AE13" s="80"/>
      <c r="AF13" s="256"/>
      <c r="AG13" s="256"/>
      <c r="AH13" s="255"/>
      <c r="AI13" s="80"/>
    </row>
    <row r="14" spans="1:36">
      <c r="A14" s="96">
        <v>6</v>
      </c>
      <c r="B14" s="128" t="s">
        <v>195</v>
      </c>
      <c r="C14" s="269">
        <v>69525</v>
      </c>
      <c r="D14" s="269">
        <v>71002</v>
      </c>
      <c r="E14" s="207">
        <v>27782</v>
      </c>
      <c r="F14" s="175">
        <f t="shared" si="0"/>
        <v>2.0351712043273209E-2</v>
      </c>
      <c r="G14" s="201">
        <v>43176</v>
      </c>
      <c r="H14" s="175">
        <f t="shared" si="1"/>
        <v>1.3491011772763817E-2</v>
      </c>
      <c r="I14" s="201">
        <f t="shared" si="4"/>
        <v>70958</v>
      </c>
      <c r="J14" s="270">
        <f t="shared" si="5"/>
        <v>70495</v>
      </c>
      <c r="K14" s="177">
        <f t="shared" si="2"/>
        <v>1.5598237030805494E-2</v>
      </c>
      <c r="L14" s="79">
        <f t="shared" si="7"/>
        <v>19131</v>
      </c>
      <c r="M14" s="196">
        <f t="shared" si="8"/>
        <v>1750</v>
      </c>
      <c r="N14" s="196"/>
      <c r="O14" s="240">
        <f t="shared" si="9"/>
        <v>17381</v>
      </c>
      <c r="P14" s="118">
        <f t="shared" si="6"/>
        <v>3946</v>
      </c>
      <c r="Q14" s="80">
        <f t="shared" si="3"/>
        <v>664</v>
      </c>
      <c r="R14" s="181">
        <f t="shared" ref="R14:R27" si="10">(O14-W14)/W14</f>
        <v>3.9720045462702636E-2</v>
      </c>
      <c r="S14" s="78"/>
      <c r="T14" s="194">
        <v>18467</v>
      </c>
      <c r="U14" s="196">
        <v>1750</v>
      </c>
      <c r="V14" s="196"/>
      <c r="W14" s="195">
        <v>16717</v>
      </c>
      <c r="X14" s="230">
        <v>4013</v>
      </c>
      <c r="Z14" s="176"/>
      <c r="AA14" s="255"/>
      <c r="AB14" s="80"/>
      <c r="AC14" s="80"/>
      <c r="AD14" s="256"/>
      <c r="AE14" s="80"/>
      <c r="AF14" s="256"/>
      <c r="AG14" s="256"/>
      <c r="AH14" s="255"/>
      <c r="AI14" s="80"/>
    </row>
    <row r="15" spans="1:36">
      <c r="A15" s="96">
        <v>7</v>
      </c>
      <c r="B15" s="128" t="s">
        <v>196</v>
      </c>
      <c r="C15" s="269">
        <v>72801</v>
      </c>
      <c r="D15" s="269">
        <v>73049</v>
      </c>
      <c r="E15" s="207">
        <v>25425</v>
      </c>
      <c r="F15" s="175">
        <f t="shared" si="0"/>
        <v>1.8625091019373024E-2</v>
      </c>
      <c r="G15" s="201">
        <v>50621</v>
      </c>
      <c r="H15" s="175">
        <f t="shared" si="1"/>
        <v>1.5817317652146497E-2</v>
      </c>
      <c r="I15" s="201">
        <f t="shared" si="4"/>
        <v>76046</v>
      </c>
      <c r="J15" s="270">
        <f t="shared" si="5"/>
        <v>73965</v>
      </c>
      <c r="K15" s="177">
        <f t="shared" si="2"/>
        <v>1.6366034498666974E-2</v>
      </c>
      <c r="L15" s="79">
        <f t="shared" si="7"/>
        <v>20073</v>
      </c>
      <c r="M15" s="196">
        <f t="shared" si="8"/>
        <v>1750</v>
      </c>
      <c r="N15" s="196"/>
      <c r="O15" s="240">
        <f t="shared" si="9"/>
        <v>18323</v>
      </c>
      <c r="P15" s="118">
        <f t="shared" si="6"/>
        <v>4140</v>
      </c>
      <c r="Q15" s="80">
        <f t="shared" si="3"/>
        <v>988</v>
      </c>
      <c r="R15" s="181">
        <f t="shared" si="10"/>
        <v>5.6994519757715606E-2</v>
      </c>
      <c r="S15" s="78"/>
      <c r="T15" s="194">
        <v>19085</v>
      </c>
      <c r="U15" s="196">
        <v>1750</v>
      </c>
      <c r="V15" s="196"/>
      <c r="W15" s="195">
        <v>17335</v>
      </c>
      <c r="X15" s="230">
        <v>4148</v>
      </c>
      <c r="Z15" s="176"/>
      <c r="AA15" s="255"/>
      <c r="AB15" s="80"/>
      <c r="AC15" s="80"/>
      <c r="AD15" s="256"/>
      <c r="AE15" s="80"/>
      <c r="AF15" s="256"/>
      <c r="AG15" s="256"/>
      <c r="AH15" s="255"/>
      <c r="AI15" s="80"/>
    </row>
    <row r="16" spans="1:36">
      <c r="A16" s="96">
        <v>8</v>
      </c>
      <c r="B16" s="72" t="s">
        <v>197</v>
      </c>
      <c r="C16" s="269">
        <v>33802</v>
      </c>
      <c r="D16" s="269">
        <v>35474</v>
      </c>
      <c r="E16" s="207">
        <v>11264</v>
      </c>
      <c r="F16" s="175">
        <f t="shared" si="0"/>
        <v>8.251446420539538E-3</v>
      </c>
      <c r="G16" s="201">
        <v>20062</v>
      </c>
      <c r="H16" s="175">
        <f t="shared" si="1"/>
        <v>6.268683485852967E-3</v>
      </c>
      <c r="I16" s="201">
        <f t="shared" si="4"/>
        <v>31326</v>
      </c>
      <c r="J16" s="270">
        <f t="shared" si="5"/>
        <v>33534</v>
      </c>
      <c r="K16" s="177">
        <f t="shared" si="2"/>
        <v>7.4199770280308028E-3</v>
      </c>
      <c r="L16" s="79">
        <f t="shared" si="7"/>
        <v>9101</v>
      </c>
      <c r="M16" s="196">
        <f t="shared" si="8"/>
        <v>1750</v>
      </c>
      <c r="N16" s="196"/>
      <c r="O16" s="240">
        <f t="shared" si="9"/>
        <v>7351</v>
      </c>
      <c r="P16" s="118">
        <f t="shared" si="6"/>
        <v>1877</v>
      </c>
      <c r="Q16" s="80">
        <f t="shared" si="3"/>
        <v>78</v>
      </c>
      <c r="R16" s="181">
        <f t="shared" si="10"/>
        <v>1.0724597827581466E-2</v>
      </c>
      <c r="S16" s="78"/>
      <c r="T16" s="194">
        <v>9023</v>
      </c>
      <c r="U16" s="196">
        <v>1750</v>
      </c>
      <c r="V16" s="196"/>
      <c r="W16" s="195">
        <v>7273</v>
      </c>
      <c r="X16" s="230">
        <v>1961</v>
      </c>
      <c r="Z16" s="176"/>
      <c r="AA16" s="255"/>
      <c r="AB16" s="80"/>
      <c r="AC16" s="80"/>
      <c r="AD16" s="256"/>
      <c r="AE16" s="80"/>
      <c r="AF16" s="256"/>
      <c r="AG16" s="256"/>
      <c r="AH16" s="255"/>
      <c r="AI16" s="80"/>
    </row>
    <row r="17" spans="1:35">
      <c r="A17" s="96">
        <v>9</v>
      </c>
      <c r="B17" s="128" t="s">
        <v>198</v>
      </c>
      <c r="C17" s="269">
        <v>31639</v>
      </c>
      <c r="D17" s="269">
        <v>33471</v>
      </c>
      <c r="E17" s="207">
        <v>19109</v>
      </c>
      <c r="F17" s="175">
        <f t="shared" si="0"/>
        <v>1.3998303413537822E-2</v>
      </c>
      <c r="G17" s="201">
        <v>13813</v>
      </c>
      <c r="H17" s="175">
        <f t="shared" si="1"/>
        <v>4.3160863817210161E-3</v>
      </c>
      <c r="I17" s="201">
        <f t="shared" si="4"/>
        <v>32922</v>
      </c>
      <c r="J17" s="270">
        <f t="shared" si="5"/>
        <v>32677</v>
      </c>
      <c r="K17" s="177">
        <f t="shared" si="2"/>
        <v>7.23035096752438E-3</v>
      </c>
      <c r="L17" s="79">
        <f t="shared" si="7"/>
        <v>8868</v>
      </c>
      <c r="M17" s="196">
        <f t="shared" si="8"/>
        <v>1750</v>
      </c>
      <c r="N17" s="196"/>
      <c r="O17" s="240">
        <f t="shared" si="9"/>
        <v>7118</v>
      </c>
      <c r="P17" s="118">
        <f t="shared" si="6"/>
        <v>1829</v>
      </c>
      <c r="Q17" s="80">
        <f t="shared" si="3"/>
        <v>207</v>
      </c>
      <c r="R17" s="181">
        <f t="shared" si="10"/>
        <v>2.9952250036174216E-2</v>
      </c>
      <c r="S17" s="78"/>
      <c r="T17" s="194">
        <v>8661</v>
      </c>
      <c r="U17" s="196">
        <v>1750</v>
      </c>
      <c r="V17" s="196"/>
      <c r="W17" s="195">
        <v>6911</v>
      </c>
      <c r="X17" s="230">
        <v>1882</v>
      </c>
      <c r="Z17" s="176"/>
      <c r="AA17" s="255"/>
      <c r="AB17" s="80"/>
      <c r="AC17" s="80"/>
      <c r="AD17" s="256"/>
      <c r="AE17" s="80"/>
      <c r="AF17" s="256"/>
      <c r="AG17" s="256"/>
      <c r="AH17" s="255"/>
      <c r="AI17" s="80"/>
    </row>
    <row r="18" spans="1:35">
      <c r="A18" s="96">
        <v>10</v>
      </c>
      <c r="B18" s="128" t="s">
        <v>199</v>
      </c>
      <c r="C18" s="269">
        <v>32221</v>
      </c>
      <c r="D18" s="269">
        <v>27755</v>
      </c>
      <c r="E18" s="207">
        <v>12994</v>
      </c>
      <c r="F18" s="175">
        <f t="shared" si="0"/>
        <v>9.5187584151714098E-3</v>
      </c>
      <c r="G18" s="201">
        <v>15679</v>
      </c>
      <c r="H18" s="175">
        <f t="shared" si="1"/>
        <v>4.8991470628396306E-3</v>
      </c>
      <c r="I18" s="201">
        <f t="shared" si="4"/>
        <v>28673</v>
      </c>
      <c r="J18" s="270">
        <f t="shared" si="5"/>
        <v>29550</v>
      </c>
      <c r="K18" s="177">
        <f t="shared" si="2"/>
        <v>6.5384481773218296E-3</v>
      </c>
      <c r="L18" s="79">
        <f t="shared" si="7"/>
        <v>8019</v>
      </c>
      <c r="M18" s="196">
        <f t="shared" si="8"/>
        <v>1750</v>
      </c>
      <c r="N18" s="196"/>
      <c r="O18" s="240">
        <f t="shared" si="9"/>
        <v>6269</v>
      </c>
      <c r="P18" s="118">
        <f t="shared" si="6"/>
        <v>1654</v>
      </c>
      <c r="Q18" s="80">
        <f t="shared" si="3"/>
        <v>5</v>
      </c>
      <c r="R18" s="181">
        <f t="shared" si="10"/>
        <v>7.9821200510855688E-4</v>
      </c>
      <c r="S18" s="78"/>
      <c r="T18" s="194">
        <v>8014</v>
      </c>
      <c r="U18" s="196">
        <v>1750</v>
      </c>
      <c r="V18" s="196"/>
      <c r="W18" s="195">
        <v>6264</v>
      </c>
      <c r="X18" s="230">
        <v>1742</v>
      </c>
      <c r="Z18" s="176"/>
      <c r="AA18" s="255"/>
      <c r="AB18" s="80"/>
      <c r="AC18" s="80"/>
      <c r="AD18" s="256"/>
      <c r="AE18" s="80"/>
      <c r="AF18" s="256"/>
      <c r="AG18" s="256"/>
      <c r="AH18" s="255"/>
      <c r="AI18" s="80"/>
    </row>
    <row r="19" spans="1:35" ht="12.75" customHeight="1">
      <c r="A19" s="96">
        <v>11</v>
      </c>
      <c r="B19" s="128" t="s">
        <v>200</v>
      </c>
      <c r="C19" s="269">
        <v>31983</v>
      </c>
      <c r="D19" s="269">
        <v>32119</v>
      </c>
      <c r="E19" s="207">
        <v>10852</v>
      </c>
      <c r="F19" s="175">
        <f t="shared" si="0"/>
        <v>7.9496357027428154E-3</v>
      </c>
      <c r="G19" s="201">
        <v>19826</v>
      </c>
      <c r="H19" s="175">
        <f t="shared" si="1"/>
        <v>6.1949416205024886E-3</v>
      </c>
      <c r="I19" s="201">
        <f t="shared" si="4"/>
        <v>30678</v>
      </c>
      <c r="J19" s="270">
        <f t="shared" si="5"/>
        <v>31593</v>
      </c>
      <c r="K19" s="177">
        <f t="shared" si="2"/>
        <v>6.9904972340483441E-3</v>
      </c>
      <c r="L19" s="79">
        <f t="shared" si="7"/>
        <v>8574</v>
      </c>
      <c r="M19" s="196">
        <f t="shared" si="8"/>
        <v>1750</v>
      </c>
      <c r="N19" s="196"/>
      <c r="O19" s="240">
        <f t="shared" si="9"/>
        <v>6824</v>
      </c>
      <c r="P19" s="118">
        <f t="shared" si="6"/>
        <v>1768</v>
      </c>
      <c r="Q19" s="80">
        <f t="shared" si="3"/>
        <v>-28</v>
      </c>
      <c r="R19" s="181">
        <f t="shared" si="10"/>
        <v>-4.0863981319322826E-3</v>
      </c>
      <c r="S19" s="78"/>
      <c r="T19" s="194">
        <v>8602</v>
      </c>
      <c r="U19" s="196">
        <v>1750</v>
      </c>
      <c r="V19" s="196"/>
      <c r="W19" s="195">
        <v>6852</v>
      </c>
      <c r="X19" s="230">
        <v>1870</v>
      </c>
      <c r="Z19" s="176"/>
      <c r="AA19" s="255"/>
      <c r="AB19" s="80"/>
      <c r="AC19" s="80"/>
      <c r="AD19" s="256"/>
      <c r="AE19" s="80"/>
      <c r="AF19" s="256"/>
      <c r="AG19" s="256"/>
      <c r="AH19" s="255"/>
      <c r="AI19" s="80"/>
    </row>
    <row r="20" spans="1:35" ht="12" customHeight="1">
      <c r="A20" s="96">
        <v>12</v>
      </c>
      <c r="B20" s="72" t="s">
        <v>201</v>
      </c>
      <c r="C20" s="269">
        <v>15545</v>
      </c>
      <c r="D20" s="269">
        <v>15718</v>
      </c>
      <c r="E20" s="207">
        <v>9498</v>
      </c>
      <c r="F20" s="175">
        <f t="shared" si="0"/>
        <v>6.9577626156147486E-3</v>
      </c>
      <c r="G20" s="201">
        <v>7070</v>
      </c>
      <c r="H20" s="175">
        <f t="shared" si="1"/>
        <v>2.2091313052028947E-3</v>
      </c>
      <c r="I20" s="201">
        <f t="shared" si="4"/>
        <v>16568</v>
      </c>
      <c r="J20" s="270">
        <f t="shared" si="5"/>
        <v>15944</v>
      </c>
      <c r="K20" s="177">
        <f t="shared" si="2"/>
        <v>3.5278855410903298E-3</v>
      </c>
      <c r="L20" s="79">
        <f t="shared" si="7"/>
        <v>4327</v>
      </c>
      <c r="M20" s="196">
        <f t="shared" si="8"/>
        <v>1750</v>
      </c>
      <c r="N20" s="196"/>
      <c r="O20" s="240">
        <f t="shared" si="9"/>
        <v>2577</v>
      </c>
      <c r="P20" s="118">
        <f t="shared" si="6"/>
        <v>892</v>
      </c>
      <c r="Q20" s="80">
        <f t="shared" si="3"/>
        <v>63</v>
      </c>
      <c r="R20" s="181">
        <f t="shared" si="10"/>
        <v>2.5059665871121718E-2</v>
      </c>
      <c r="S20" s="78"/>
      <c r="T20" s="194">
        <v>4264</v>
      </c>
      <c r="U20" s="196">
        <v>1750</v>
      </c>
      <c r="V20" s="196"/>
      <c r="W20" s="195">
        <v>2514</v>
      </c>
      <c r="X20" s="230">
        <v>927</v>
      </c>
      <c r="Z20" s="176"/>
      <c r="AA20" s="255"/>
      <c r="AB20" s="80"/>
      <c r="AC20" s="80"/>
      <c r="AD20" s="256"/>
      <c r="AE20" s="80"/>
      <c r="AF20" s="256"/>
      <c r="AG20" s="256"/>
      <c r="AH20" s="255"/>
      <c r="AI20" s="80"/>
    </row>
    <row r="21" spans="1:35">
      <c r="A21" s="96">
        <v>13</v>
      </c>
      <c r="B21" s="128" t="s">
        <v>202</v>
      </c>
      <c r="C21" s="269">
        <v>48619</v>
      </c>
      <c r="D21" s="269">
        <v>49526</v>
      </c>
      <c r="E21" s="207">
        <v>16301</v>
      </c>
      <c r="F21" s="175">
        <f t="shared" si="0"/>
        <v>1.1941302210690253E-2</v>
      </c>
      <c r="G21" s="201">
        <v>31422</v>
      </c>
      <c r="H21" s="175">
        <f t="shared" si="1"/>
        <v>9.8182919196726105E-3</v>
      </c>
      <c r="I21" s="201">
        <f t="shared" si="4"/>
        <v>47723</v>
      </c>
      <c r="J21" s="270">
        <f t="shared" si="5"/>
        <v>48623</v>
      </c>
      <c r="K21" s="177">
        <f t="shared" si="2"/>
        <v>1.0758679043178319E-2</v>
      </c>
      <c r="L21" s="79">
        <f t="shared" si="7"/>
        <v>13195</v>
      </c>
      <c r="M21" s="196">
        <f t="shared" si="8"/>
        <v>1750</v>
      </c>
      <c r="N21" s="196"/>
      <c r="O21" s="240">
        <f t="shared" si="9"/>
        <v>11445</v>
      </c>
      <c r="P21" s="118">
        <f t="shared" si="6"/>
        <v>2722</v>
      </c>
      <c r="Q21" s="80">
        <f t="shared" si="3"/>
        <v>580</v>
      </c>
      <c r="R21" s="181">
        <f t="shared" si="10"/>
        <v>5.3382420616658995E-2</v>
      </c>
      <c r="S21" s="78"/>
      <c r="T21" s="194">
        <v>12615</v>
      </c>
      <c r="U21" s="196">
        <v>1750</v>
      </c>
      <c r="V21" s="196"/>
      <c r="W21" s="195">
        <v>10865</v>
      </c>
      <c r="X21" s="230">
        <v>2742</v>
      </c>
      <c r="Z21" s="176"/>
      <c r="AA21" s="255"/>
      <c r="AB21" s="80"/>
      <c r="AC21" s="80"/>
      <c r="AD21" s="256"/>
      <c r="AE21" s="80"/>
      <c r="AF21" s="256"/>
      <c r="AG21" s="256"/>
      <c r="AH21" s="255"/>
      <c r="AI21" s="80"/>
    </row>
    <row r="22" spans="1:35">
      <c r="A22" s="96">
        <v>14</v>
      </c>
      <c r="B22" s="72" t="s">
        <v>203</v>
      </c>
      <c r="C22" s="269">
        <v>298871</v>
      </c>
      <c r="D22" s="269">
        <v>300760</v>
      </c>
      <c r="E22" s="207">
        <v>94035</v>
      </c>
      <c r="F22" s="175">
        <f t="shared" si="0"/>
        <v>6.8885366135958401E-2</v>
      </c>
      <c r="G22" s="201">
        <v>202351</v>
      </c>
      <c r="H22" s="175">
        <f t="shared" si="1"/>
        <v>6.3227712692943555E-2</v>
      </c>
      <c r="I22" s="201">
        <f t="shared" si="4"/>
        <v>296386</v>
      </c>
      <c r="J22" s="270">
        <f t="shared" si="5"/>
        <v>298672</v>
      </c>
      <c r="K22" s="177">
        <f t="shared" si="2"/>
        <v>6.6086341591102049E-2</v>
      </c>
      <c r="L22" s="79">
        <f t="shared" si="7"/>
        <v>81054</v>
      </c>
      <c r="M22" s="196">
        <f t="shared" si="8"/>
        <v>1750</v>
      </c>
      <c r="N22" s="236">
        <f>K71*M3</f>
        <v>3384.4108359647662</v>
      </c>
      <c r="O22" s="240">
        <f t="shared" si="9"/>
        <v>75919.589164035235</v>
      </c>
      <c r="P22" s="118">
        <f t="shared" si="6"/>
        <v>16717</v>
      </c>
      <c r="Q22" s="80">
        <f t="shared" si="3"/>
        <v>4661.334879171889</v>
      </c>
      <c r="R22" s="181">
        <f t="shared" si="10"/>
        <v>6.5414665654559098E-2</v>
      </c>
      <c r="S22" s="78"/>
      <c r="T22" s="194">
        <v>76469</v>
      </c>
      <c r="U22" s="196">
        <v>1750</v>
      </c>
      <c r="V22" s="196">
        <v>3460.7457151366543</v>
      </c>
      <c r="W22" s="195">
        <v>71258.254284863346</v>
      </c>
      <c r="X22" s="230">
        <v>16619</v>
      </c>
      <c r="Z22" s="176"/>
      <c r="AA22" s="255"/>
      <c r="AB22" s="80"/>
      <c r="AC22" s="80"/>
      <c r="AD22" s="256"/>
      <c r="AE22" s="80"/>
      <c r="AF22" s="256"/>
      <c r="AG22" s="256"/>
      <c r="AH22" s="255"/>
      <c r="AI22" s="80"/>
    </row>
    <row r="23" spans="1:35">
      <c r="A23" s="96">
        <v>15</v>
      </c>
      <c r="B23" s="72" t="s">
        <v>204</v>
      </c>
      <c r="C23" s="269">
        <v>40348</v>
      </c>
      <c r="D23" s="269">
        <v>42907</v>
      </c>
      <c r="E23" s="207">
        <v>20265</v>
      </c>
      <c r="F23" s="175">
        <f t="shared" si="0"/>
        <v>1.4845131544054842E-2</v>
      </c>
      <c r="G23" s="201">
        <v>21018</v>
      </c>
      <c r="H23" s="175">
        <f t="shared" si="1"/>
        <v>6.5674005336286345E-3</v>
      </c>
      <c r="I23" s="201">
        <f t="shared" si="4"/>
        <v>41283</v>
      </c>
      <c r="J23" s="270">
        <f t="shared" si="5"/>
        <v>41513</v>
      </c>
      <c r="K23" s="177">
        <f t="shared" si="2"/>
        <v>9.1854686695485993E-3</v>
      </c>
      <c r="L23" s="79">
        <f t="shared" si="7"/>
        <v>11266</v>
      </c>
      <c r="M23" s="196">
        <f t="shared" si="8"/>
        <v>1750</v>
      </c>
      <c r="N23" s="196"/>
      <c r="O23" s="240">
        <f t="shared" si="9"/>
        <v>9516</v>
      </c>
      <c r="P23" s="118">
        <f t="shared" si="6"/>
        <v>2324</v>
      </c>
      <c r="Q23" s="80">
        <f t="shared" si="3"/>
        <v>533</v>
      </c>
      <c r="R23" s="181">
        <f t="shared" si="10"/>
        <v>5.9334298118668596E-2</v>
      </c>
      <c r="S23" s="78"/>
      <c r="T23" s="194">
        <v>10733</v>
      </c>
      <c r="U23" s="196">
        <v>1750</v>
      </c>
      <c r="V23" s="196"/>
      <c r="W23" s="195">
        <v>8983</v>
      </c>
      <c r="X23" s="230">
        <v>2333</v>
      </c>
      <c r="Z23" s="176"/>
      <c r="AA23" s="255"/>
      <c r="AB23" s="80"/>
      <c r="AC23" s="80"/>
      <c r="AD23" s="256"/>
      <c r="AE23" s="80"/>
      <c r="AF23" s="256"/>
      <c r="AG23" s="256"/>
      <c r="AH23" s="255"/>
      <c r="AI23" s="80"/>
    </row>
    <row r="24" spans="1:35">
      <c r="A24" s="96">
        <v>16</v>
      </c>
      <c r="B24" s="72" t="s">
        <v>205</v>
      </c>
      <c r="C24" s="269">
        <v>41860</v>
      </c>
      <c r="D24" s="269">
        <v>42434</v>
      </c>
      <c r="E24" s="207">
        <v>10703</v>
      </c>
      <c r="F24" s="175">
        <f t="shared" si="0"/>
        <v>7.8404857101415735E-3</v>
      </c>
      <c r="G24" s="201">
        <v>31281</v>
      </c>
      <c r="H24" s="175">
        <f t="shared" si="1"/>
        <v>9.7742342797810123E-3</v>
      </c>
      <c r="I24" s="201">
        <f t="shared" si="4"/>
        <v>41984</v>
      </c>
      <c r="J24" s="270">
        <f t="shared" si="5"/>
        <v>42093</v>
      </c>
      <c r="K24" s="177">
        <f t="shared" si="2"/>
        <v>9.3138036929951862E-3</v>
      </c>
      <c r="L24" s="79">
        <f t="shared" si="7"/>
        <v>11423</v>
      </c>
      <c r="M24" s="196">
        <f t="shared" si="8"/>
        <v>1750</v>
      </c>
      <c r="N24" s="196"/>
      <c r="O24" s="240">
        <f t="shared" si="9"/>
        <v>9673</v>
      </c>
      <c r="P24" s="118">
        <f t="shared" si="6"/>
        <v>2356</v>
      </c>
      <c r="Q24" s="80">
        <f t="shared" si="3"/>
        <v>-166</v>
      </c>
      <c r="R24" s="181">
        <f t="shared" si="10"/>
        <v>-1.6871633296066675E-2</v>
      </c>
      <c r="S24" s="78"/>
      <c r="T24" s="194">
        <v>11589</v>
      </c>
      <c r="U24" s="196">
        <v>1750</v>
      </c>
      <c r="V24" s="196"/>
      <c r="W24" s="195">
        <v>9839</v>
      </c>
      <c r="X24" s="230">
        <v>2519</v>
      </c>
      <c r="Z24" s="176"/>
      <c r="AA24" s="255"/>
      <c r="AB24" s="80"/>
      <c r="AC24" s="80"/>
      <c r="AD24" s="256"/>
      <c r="AE24" s="80"/>
      <c r="AF24" s="256"/>
      <c r="AG24" s="256"/>
      <c r="AH24" s="255"/>
      <c r="AI24" s="80"/>
    </row>
    <row r="25" spans="1:35">
      <c r="A25" s="96">
        <v>17</v>
      </c>
      <c r="B25" s="128" t="s">
        <v>339</v>
      </c>
      <c r="C25" s="269">
        <v>28874</v>
      </c>
      <c r="D25" s="269">
        <v>19038</v>
      </c>
      <c r="E25" s="207">
        <v>13390</v>
      </c>
      <c r="F25" s="175">
        <f t="shared" si="0"/>
        <v>9.8088483283935018E-3</v>
      </c>
      <c r="G25" s="201">
        <v>15727</v>
      </c>
      <c r="H25" s="175">
        <f t="shared" si="1"/>
        <v>4.914145408334643E-3</v>
      </c>
      <c r="I25" s="201">
        <f t="shared" si="4"/>
        <v>29117</v>
      </c>
      <c r="J25" s="270">
        <f t="shared" si="5"/>
        <v>25676</v>
      </c>
      <c r="K25" s="177">
        <f t="shared" si="2"/>
        <v>5.6812587276113468E-3</v>
      </c>
      <c r="L25" s="79">
        <f t="shared" si="7"/>
        <v>6968</v>
      </c>
      <c r="M25" s="196">
        <f t="shared" si="8"/>
        <v>1750</v>
      </c>
      <c r="N25" s="196"/>
      <c r="O25" s="240">
        <f t="shared" ref="O25" si="11">L25-M25-N25</f>
        <v>5218</v>
      </c>
      <c r="P25" s="118">
        <f t="shared" ref="P25" si="12">ROUND(K25*$H$5,0)</f>
        <v>1437</v>
      </c>
      <c r="Q25" s="80">
        <f t="shared" ref="Q25" si="13">O25-W25</f>
        <v>-92</v>
      </c>
      <c r="R25" s="181">
        <f t="shared" si="10"/>
        <v>-1.7325800376647833E-2</v>
      </c>
      <c r="S25" s="78"/>
      <c r="T25" s="194">
        <v>7060</v>
      </c>
      <c r="U25" s="196">
        <v>1750</v>
      </c>
      <c r="V25" s="196"/>
      <c r="W25" s="195">
        <v>5310</v>
      </c>
      <c r="X25" s="230">
        <v>1534</v>
      </c>
      <c r="Z25" s="176"/>
      <c r="AA25" s="255"/>
      <c r="AB25" s="80"/>
      <c r="AC25" s="80"/>
      <c r="AD25" s="256"/>
      <c r="AE25" s="80"/>
      <c r="AF25" s="256"/>
      <c r="AG25" s="256"/>
      <c r="AH25" s="255"/>
      <c r="AI25" s="80"/>
    </row>
    <row r="26" spans="1:35">
      <c r="A26" s="96">
        <v>18</v>
      </c>
      <c r="B26" s="128" t="s">
        <v>206</v>
      </c>
      <c r="C26" s="269">
        <v>75535</v>
      </c>
      <c r="D26" s="269">
        <v>80513</v>
      </c>
      <c r="E26" s="207">
        <v>28795</v>
      </c>
      <c r="F26" s="175">
        <f t="shared" si="0"/>
        <v>2.1093785482904474E-2</v>
      </c>
      <c r="G26" s="201">
        <v>56337</v>
      </c>
      <c r="H26" s="175">
        <f t="shared" si="1"/>
        <v>1.760337062817758E-2</v>
      </c>
      <c r="I26" s="201">
        <f t="shared" si="4"/>
        <v>85132</v>
      </c>
      <c r="J26" s="270">
        <f t="shared" si="5"/>
        <v>80393</v>
      </c>
      <c r="K26" s="177">
        <f t="shared" si="2"/>
        <v>1.7788340586106052E-2</v>
      </c>
      <c r="L26" s="79">
        <f t="shared" si="7"/>
        <v>21817</v>
      </c>
      <c r="M26" s="196">
        <f t="shared" si="8"/>
        <v>1750</v>
      </c>
      <c r="N26" s="196"/>
      <c r="O26" s="240">
        <f t="shared" si="9"/>
        <v>20067</v>
      </c>
      <c r="P26" s="118">
        <f t="shared" si="6"/>
        <v>4500</v>
      </c>
      <c r="Q26" s="80">
        <f t="shared" si="3"/>
        <v>822</v>
      </c>
      <c r="R26" s="181">
        <f t="shared" si="10"/>
        <v>4.2712392829306313E-2</v>
      </c>
      <c r="S26" s="78"/>
      <c r="T26" s="194">
        <v>20995</v>
      </c>
      <c r="U26" s="196">
        <v>1750</v>
      </c>
      <c r="V26" s="196"/>
      <c r="W26" s="195">
        <v>19245</v>
      </c>
      <c r="X26" s="230">
        <v>4563</v>
      </c>
      <c r="Z26" s="176"/>
      <c r="AA26" s="255"/>
      <c r="AB26" s="80"/>
      <c r="AC26" s="80"/>
      <c r="AD26" s="256"/>
      <c r="AE26" s="80"/>
      <c r="AF26" s="256"/>
      <c r="AG26" s="256"/>
      <c r="AH26" s="255"/>
      <c r="AI26" s="80"/>
    </row>
    <row r="27" spans="1:35">
      <c r="A27" s="96">
        <v>19</v>
      </c>
      <c r="B27" s="128" t="s">
        <v>321</v>
      </c>
      <c r="C27" s="269">
        <v>20807</v>
      </c>
      <c r="D27" s="269">
        <v>23627</v>
      </c>
      <c r="E27" s="207">
        <v>13238</v>
      </c>
      <c r="F27" s="175">
        <f t="shared" si="0"/>
        <v>9.6975006849345166E-3</v>
      </c>
      <c r="G27" s="201">
        <v>6786</v>
      </c>
      <c r="H27" s="175">
        <f t="shared" si="1"/>
        <v>2.1203910943574035E-3</v>
      </c>
      <c r="I27" s="201">
        <f t="shared" si="4"/>
        <v>20024</v>
      </c>
      <c r="J27" s="270">
        <f t="shared" si="5"/>
        <v>21486</v>
      </c>
      <c r="K27" s="285">
        <f t="shared" si="2"/>
        <v>4.7541488168506545E-3</v>
      </c>
      <c r="L27" s="79">
        <f t="shared" si="7"/>
        <v>5831</v>
      </c>
      <c r="M27" s="196">
        <v>0</v>
      </c>
      <c r="N27" s="196"/>
      <c r="O27" s="240">
        <f t="shared" si="9"/>
        <v>5831</v>
      </c>
      <c r="P27" s="118">
        <f t="shared" si="6"/>
        <v>1203</v>
      </c>
      <c r="Q27" s="80">
        <f t="shared" si="3"/>
        <v>-238</v>
      </c>
      <c r="R27" s="181">
        <f t="shared" si="10"/>
        <v>-3.9215686274509803E-2</v>
      </c>
      <c r="S27" s="78"/>
      <c r="T27" s="194">
        <v>6069</v>
      </c>
      <c r="U27" s="196">
        <v>0</v>
      </c>
      <c r="V27" s="196"/>
      <c r="W27" s="195">
        <v>6069</v>
      </c>
      <c r="X27" s="230">
        <v>1319</v>
      </c>
      <c r="Z27" s="176"/>
      <c r="AA27" s="255"/>
      <c r="AB27" s="80"/>
      <c r="AC27" s="80"/>
      <c r="AD27" s="256"/>
      <c r="AE27" s="80"/>
      <c r="AF27" s="256"/>
      <c r="AG27" s="256"/>
      <c r="AH27" s="255"/>
      <c r="AI27" s="80"/>
    </row>
    <row r="28" spans="1:35">
      <c r="A28" s="96">
        <v>20</v>
      </c>
      <c r="B28" s="72" t="s">
        <v>207</v>
      </c>
      <c r="C28" s="269">
        <v>20335</v>
      </c>
      <c r="D28" s="269">
        <v>18861</v>
      </c>
      <c r="E28" s="207">
        <v>10732</v>
      </c>
      <c r="F28" s="175">
        <f t="shared" si="0"/>
        <v>7.8617296684330897E-3</v>
      </c>
      <c r="G28" s="201">
        <v>10358</v>
      </c>
      <c r="H28" s="175">
        <f t="shared" si="1"/>
        <v>3.2365179716112567E-3</v>
      </c>
      <c r="I28" s="201">
        <f t="shared" si="4"/>
        <v>21090</v>
      </c>
      <c r="J28" s="270">
        <f t="shared" si="5"/>
        <v>20095</v>
      </c>
      <c r="K28" s="177">
        <f t="shared" si="2"/>
        <v>4.4463660278606489E-3</v>
      </c>
      <c r="L28" s="79">
        <f t="shared" si="7"/>
        <v>5453</v>
      </c>
      <c r="M28" s="196">
        <f t="shared" si="8"/>
        <v>1750</v>
      </c>
      <c r="N28" s="196"/>
      <c r="O28" s="240">
        <f t="shared" si="9"/>
        <v>3703</v>
      </c>
      <c r="P28" s="118">
        <f t="shared" si="6"/>
        <v>1125</v>
      </c>
      <c r="Q28" s="80">
        <f t="shared" si="3"/>
        <v>334</v>
      </c>
      <c r="R28" s="181">
        <f t="shared" ref="R28:R41" si="14">(O28-W28)/W28</f>
        <v>9.9139210448204215E-2</v>
      </c>
      <c r="S28" s="78"/>
      <c r="T28" s="194">
        <v>5119</v>
      </c>
      <c r="U28" s="196">
        <v>1750</v>
      </c>
      <c r="V28" s="196"/>
      <c r="W28" s="195">
        <v>3369</v>
      </c>
      <c r="X28" s="230">
        <v>1113</v>
      </c>
      <c r="Z28" s="176"/>
      <c r="AA28" s="255"/>
      <c r="AB28" s="80"/>
      <c r="AC28" s="80"/>
      <c r="AD28" s="256"/>
      <c r="AE28" s="80"/>
      <c r="AF28" s="256"/>
      <c r="AG28" s="256"/>
      <c r="AH28" s="255"/>
      <c r="AI28" s="80"/>
    </row>
    <row r="29" spans="1:35">
      <c r="A29" s="96">
        <v>21</v>
      </c>
      <c r="B29" s="72" t="s">
        <v>208</v>
      </c>
      <c r="C29" s="269">
        <v>17980</v>
      </c>
      <c r="D29" s="269">
        <v>20081</v>
      </c>
      <c r="E29" s="207">
        <v>8392</v>
      </c>
      <c r="F29" s="175">
        <f t="shared" si="0"/>
        <v>6.1475619993934484E-3</v>
      </c>
      <c r="G29" s="201">
        <v>13303</v>
      </c>
      <c r="H29" s="175">
        <f t="shared" si="1"/>
        <v>4.1567289608365077E-3</v>
      </c>
      <c r="I29" s="201">
        <f t="shared" si="4"/>
        <v>21695</v>
      </c>
      <c r="J29" s="270">
        <f t="shared" si="5"/>
        <v>19919</v>
      </c>
      <c r="K29" s="177">
        <f t="shared" si="2"/>
        <v>4.4074229862630637E-3</v>
      </c>
      <c r="L29" s="79">
        <f t="shared" si="7"/>
        <v>5406</v>
      </c>
      <c r="M29" s="196">
        <f t="shared" si="8"/>
        <v>1750</v>
      </c>
      <c r="N29" s="196"/>
      <c r="O29" s="240">
        <f t="shared" si="9"/>
        <v>3656</v>
      </c>
      <c r="P29" s="118">
        <f t="shared" si="6"/>
        <v>1115</v>
      </c>
      <c r="Q29" s="80">
        <f t="shared" si="3"/>
        <v>492</v>
      </c>
      <c r="R29" s="181">
        <f t="shared" si="14"/>
        <v>0.15549936788874841</v>
      </c>
      <c r="S29" s="78"/>
      <c r="T29" s="194">
        <v>4914</v>
      </c>
      <c r="U29" s="196">
        <v>1750</v>
      </c>
      <c r="V29" s="196"/>
      <c r="W29" s="195">
        <v>3164</v>
      </c>
      <c r="X29" s="230">
        <v>1068</v>
      </c>
      <c r="Z29" s="176"/>
      <c r="AA29" s="255"/>
      <c r="AB29" s="80"/>
      <c r="AC29" s="80"/>
      <c r="AD29" s="256"/>
      <c r="AE29" s="80"/>
      <c r="AF29" s="256"/>
      <c r="AG29" s="256"/>
      <c r="AH29" s="255"/>
      <c r="AI29" s="80"/>
    </row>
    <row r="30" spans="1:35">
      <c r="A30" s="96">
        <v>22</v>
      </c>
      <c r="B30" s="128" t="s">
        <v>322</v>
      </c>
      <c r="C30" s="269">
        <v>45108</v>
      </c>
      <c r="D30" s="269">
        <v>42887</v>
      </c>
      <c r="E30" s="207">
        <v>18265</v>
      </c>
      <c r="F30" s="175">
        <f t="shared" si="0"/>
        <v>1.3380030972226089E-2</v>
      </c>
      <c r="G30" s="201">
        <v>22961</v>
      </c>
      <c r="H30" s="175">
        <f t="shared" si="1"/>
        <v>7.1745210606454978E-3</v>
      </c>
      <c r="I30" s="201">
        <f t="shared" si="4"/>
        <v>41226</v>
      </c>
      <c r="J30" s="270">
        <f t="shared" si="5"/>
        <v>43074</v>
      </c>
      <c r="K30" s="285">
        <f t="shared" si="2"/>
        <v>9.5308668964453631E-3</v>
      </c>
      <c r="L30" s="79">
        <f>ROUND(K30*$G$5,0)</f>
        <v>11690</v>
      </c>
      <c r="M30" s="196">
        <f>IF(L30&lt;($M$2*2), L30/2,$M$2)</f>
        <v>1750</v>
      </c>
      <c r="N30" s="196"/>
      <c r="O30" s="240">
        <f>L30-M30-N30</f>
        <v>9940</v>
      </c>
      <c r="P30" s="240">
        <f>ROUND(K30*$H$5,0)</f>
        <v>2411</v>
      </c>
      <c r="Q30" s="80">
        <f t="shared" si="3"/>
        <v>-1521</v>
      </c>
      <c r="R30" s="181">
        <f t="shared" si="14"/>
        <v>-0.13271093272838322</v>
      </c>
      <c r="S30" s="78"/>
      <c r="T30" s="194">
        <v>13211</v>
      </c>
      <c r="U30" s="196">
        <v>1750</v>
      </c>
      <c r="V30" s="196"/>
      <c r="W30" s="195">
        <v>11461</v>
      </c>
      <c r="X30" s="230">
        <v>2871</v>
      </c>
      <c r="Z30" s="176"/>
      <c r="AA30" s="255"/>
      <c r="AB30" s="80"/>
      <c r="AC30" s="80"/>
      <c r="AD30" s="256"/>
      <c r="AE30" s="80"/>
      <c r="AF30" s="256"/>
      <c r="AG30" s="256"/>
      <c r="AH30" s="255"/>
      <c r="AI30" s="80"/>
    </row>
    <row r="31" spans="1:35" ht="12" customHeight="1">
      <c r="A31" s="96">
        <v>23</v>
      </c>
      <c r="B31" s="72" t="s">
        <v>166</v>
      </c>
      <c r="C31" s="269">
        <v>701011</v>
      </c>
      <c r="D31" s="269">
        <v>758343</v>
      </c>
      <c r="E31" s="207">
        <v>125971</v>
      </c>
      <c r="F31" s="175">
        <f t="shared" si="0"/>
        <v>9.2280092066919936E-2</v>
      </c>
      <c r="G31" s="201">
        <v>646826</v>
      </c>
      <c r="H31" s="175">
        <f t="shared" si="1"/>
        <v>0.20211082964910435</v>
      </c>
      <c r="I31" s="201">
        <f t="shared" si="4"/>
        <v>772797</v>
      </c>
      <c r="J31" s="270">
        <f t="shared" si="5"/>
        <v>744050</v>
      </c>
      <c r="K31" s="177">
        <f t="shared" si="2"/>
        <v>0.16463392102660937</v>
      </c>
      <c r="L31" s="79">
        <f t="shared" si="7"/>
        <v>201922</v>
      </c>
      <c r="M31" s="196">
        <f t="shared" si="8"/>
        <v>1750</v>
      </c>
      <c r="N31" s="236">
        <f>K70*M3</f>
        <v>8431.2251650626258</v>
      </c>
      <c r="O31" s="240">
        <f t="shared" si="9"/>
        <v>191740.77483493739</v>
      </c>
      <c r="P31" s="118">
        <f t="shared" si="6"/>
        <v>41646</v>
      </c>
      <c r="Q31" s="80">
        <f t="shared" si="3"/>
        <v>20081.699194502813</v>
      </c>
      <c r="R31" s="181">
        <f t="shared" si="14"/>
        <v>0.11698594507503299</v>
      </c>
      <c r="S31" s="78"/>
      <c r="T31" s="194">
        <v>181629</v>
      </c>
      <c r="U31" s="196">
        <v>1750</v>
      </c>
      <c r="V31" s="196">
        <v>8219.9243595654152</v>
      </c>
      <c r="W31" s="195">
        <v>171659.07564043457</v>
      </c>
      <c r="X31" s="230">
        <v>39472</v>
      </c>
      <c r="Z31" s="176"/>
      <c r="AA31" s="255"/>
      <c r="AB31" s="80"/>
      <c r="AC31" s="80"/>
      <c r="AD31" s="256"/>
      <c r="AE31" s="80"/>
      <c r="AF31" s="256"/>
      <c r="AG31" s="256"/>
      <c r="AH31" s="255"/>
      <c r="AI31" s="80"/>
    </row>
    <row r="32" spans="1:35">
      <c r="A32" s="96">
        <v>24</v>
      </c>
      <c r="B32" s="72" t="s">
        <v>209</v>
      </c>
      <c r="C32" s="269">
        <v>72445</v>
      </c>
      <c r="D32" s="269">
        <v>88947</v>
      </c>
      <c r="E32" s="207">
        <v>23575</v>
      </c>
      <c r="F32" s="175">
        <f t="shared" si="0"/>
        <v>1.7269872990431426E-2</v>
      </c>
      <c r="G32" s="201">
        <v>63222</v>
      </c>
      <c r="H32" s="175">
        <f t="shared" si="1"/>
        <v>1.9754695810118447E-2</v>
      </c>
      <c r="I32" s="201">
        <f t="shared" si="4"/>
        <v>86797</v>
      </c>
      <c r="J32" s="270">
        <f t="shared" si="5"/>
        <v>82730</v>
      </c>
      <c r="K32" s="177">
        <f t="shared" si="2"/>
        <v>1.8305442223683077E-2</v>
      </c>
      <c r="L32" s="79">
        <f t="shared" si="7"/>
        <v>22451</v>
      </c>
      <c r="M32" s="196">
        <f t="shared" si="8"/>
        <v>1750</v>
      </c>
      <c r="N32" s="196"/>
      <c r="O32" s="240">
        <f t="shared" si="9"/>
        <v>20701</v>
      </c>
      <c r="P32" s="118">
        <f t="shared" si="6"/>
        <v>4631</v>
      </c>
      <c r="Q32" s="80">
        <f t="shared" si="3"/>
        <v>2033</v>
      </c>
      <c r="R32" s="181">
        <f t="shared" si="14"/>
        <v>0.10890293550460681</v>
      </c>
      <c r="S32" s="78"/>
      <c r="T32" s="194">
        <v>20418</v>
      </c>
      <c r="U32" s="196">
        <v>1750</v>
      </c>
      <c r="V32" s="196"/>
      <c r="W32" s="195">
        <v>18668</v>
      </c>
      <c r="X32" s="230">
        <v>4437</v>
      </c>
      <c r="Z32" s="176"/>
      <c r="AA32" s="255"/>
      <c r="AB32" s="80"/>
      <c r="AC32" s="80"/>
      <c r="AD32" s="256"/>
      <c r="AE32" s="80"/>
      <c r="AF32" s="256"/>
      <c r="AG32" s="256"/>
      <c r="AH32" s="255"/>
      <c r="AI32" s="80"/>
    </row>
    <row r="33" spans="1:35">
      <c r="A33" s="96">
        <v>25</v>
      </c>
      <c r="B33" s="72" t="s">
        <v>210</v>
      </c>
      <c r="C33" s="269">
        <v>19474</v>
      </c>
      <c r="D33" s="269">
        <v>18711</v>
      </c>
      <c r="E33" s="207">
        <v>7906</v>
      </c>
      <c r="F33" s="175">
        <f t="shared" si="0"/>
        <v>5.7915425604390617E-3</v>
      </c>
      <c r="G33" s="201">
        <v>10387</v>
      </c>
      <c r="H33" s="175">
        <f t="shared" si="1"/>
        <v>3.2455794720144932E-3</v>
      </c>
      <c r="I33" s="201">
        <f t="shared" si="4"/>
        <v>18293</v>
      </c>
      <c r="J33" s="270">
        <f t="shared" si="5"/>
        <v>18826</v>
      </c>
      <c r="K33" s="177">
        <f t="shared" si="2"/>
        <v>4.1655778472507871E-3</v>
      </c>
      <c r="L33" s="79">
        <f t="shared" si="7"/>
        <v>5109</v>
      </c>
      <c r="M33" s="196">
        <f t="shared" si="8"/>
        <v>1750</v>
      </c>
      <c r="N33" s="196"/>
      <c r="O33" s="240">
        <f t="shared" si="9"/>
        <v>3359</v>
      </c>
      <c r="P33" s="118">
        <f t="shared" si="6"/>
        <v>1054</v>
      </c>
      <c r="Q33" s="80">
        <f t="shared" si="3"/>
        <v>-55</v>
      </c>
      <c r="R33" s="181">
        <f t="shared" si="14"/>
        <v>-1.611013473930873E-2</v>
      </c>
      <c r="S33" s="78"/>
      <c r="T33" s="194">
        <v>5164</v>
      </c>
      <c r="U33" s="196">
        <v>1750</v>
      </c>
      <c r="V33" s="196"/>
      <c r="W33" s="195">
        <v>3414</v>
      </c>
      <c r="X33" s="230">
        <v>1122</v>
      </c>
      <c r="Z33" s="176"/>
      <c r="AA33" s="255"/>
      <c r="AB33" s="80"/>
      <c r="AC33" s="80"/>
      <c r="AD33" s="256"/>
      <c r="AE33" s="80"/>
      <c r="AF33" s="256"/>
      <c r="AG33" s="256"/>
      <c r="AH33" s="255"/>
      <c r="AI33" s="80"/>
    </row>
    <row r="34" spans="1:35">
      <c r="A34" s="96">
        <v>26</v>
      </c>
      <c r="B34" s="128" t="s">
        <v>310</v>
      </c>
      <c r="C34" s="269">
        <v>14034</v>
      </c>
      <c r="D34" s="269">
        <v>15176</v>
      </c>
      <c r="E34" s="207">
        <v>10693</v>
      </c>
      <c r="F34" s="175">
        <f t="shared" si="0"/>
        <v>7.8331602072824295E-3</v>
      </c>
      <c r="G34" s="201">
        <v>4494</v>
      </c>
      <c r="H34" s="175">
        <f t="shared" si="1"/>
        <v>1.404220096970553E-3</v>
      </c>
      <c r="I34" s="201">
        <f t="shared" si="4"/>
        <v>15187</v>
      </c>
      <c r="J34" s="270">
        <f t="shared" si="5"/>
        <v>14799</v>
      </c>
      <c r="K34" s="285">
        <f t="shared" si="2"/>
        <v>3.274534503424222E-3</v>
      </c>
      <c r="L34" s="79">
        <f>ROUND(K34*$G$5,0)</f>
        <v>4016</v>
      </c>
      <c r="M34" s="196">
        <f>IF(L34&lt;($M$2*2), L34/2,$M$2)</f>
        <v>1750</v>
      </c>
      <c r="N34" s="196"/>
      <c r="O34" s="240">
        <f>L34-M34-N34</f>
        <v>2266</v>
      </c>
      <c r="P34" s="240">
        <f>ROUND(K34*$H$5,0)</f>
        <v>828</v>
      </c>
      <c r="Q34" s="80">
        <f t="shared" si="3"/>
        <v>178</v>
      </c>
      <c r="R34" s="181">
        <f t="shared" si="14"/>
        <v>8.5249042145593867E-2</v>
      </c>
      <c r="S34" s="78"/>
      <c r="T34" s="194">
        <v>3838</v>
      </c>
      <c r="U34" s="196">
        <v>1750</v>
      </c>
      <c r="V34" s="196"/>
      <c r="W34" s="195">
        <v>2088</v>
      </c>
      <c r="X34" s="230">
        <v>834</v>
      </c>
      <c r="Z34" s="176"/>
      <c r="AA34" s="255"/>
      <c r="AB34" s="80"/>
      <c r="AC34" s="80"/>
      <c r="AD34" s="256"/>
      <c r="AE34" s="80"/>
      <c r="AF34" s="256"/>
      <c r="AG34" s="256"/>
      <c r="AH34" s="255"/>
      <c r="AI34" s="80"/>
    </row>
    <row r="35" spans="1:35">
      <c r="A35" s="96">
        <v>27</v>
      </c>
      <c r="B35" s="72" t="s">
        <v>211</v>
      </c>
      <c r="C35" s="269">
        <v>38093</v>
      </c>
      <c r="D35" s="269">
        <v>37006</v>
      </c>
      <c r="E35" s="207">
        <v>13533</v>
      </c>
      <c r="F35" s="175">
        <f t="shared" si="0"/>
        <v>9.9136030192792587E-3</v>
      </c>
      <c r="G35" s="201">
        <v>21780</v>
      </c>
      <c r="H35" s="175">
        <f t="shared" si="1"/>
        <v>6.805499268361959E-3</v>
      </c>
      <c r="I35" s="201">
        <f t="shared" si="4"/>
        <v>35313</v>
      </c>
      <c r="J35" s="270">
        <f t="shared" si="5"/>
        <v>36804</v>
      </c>
      <c r="K35" s="177">
        <f t="shared" si="2"/>
        <v>8.1435210395313911E-3</v>
      </c>
      <c r="L35" s="79">
        <f t="shared" si="7"/>
        <v>9988</v>
      </c>
      <c r="M35" s="196">
        <f t="shared" si="8"/>
        <v>1750</v>
      </c>
      <c r="N35" s="196"/>
      <c r="O35" s="240">
        <f t="shared" si="9"/>
        <v>8238</v>
      </c>
      <c r="P35" s="118">
        <f t="shared" si="6"/>
        <v>2060</v>
      </c>
      <c r="Q35" s="80">
        <f t="shared" si="3"/>
        <v>58</v>
      </c>
      <c r="R35" s="181">
        <f t="shared" si="14"/>
        <v>7.0904645476772615E-3</v>
      </c>
      <c r="S35" s="78"/>
      <c r="T35" s="194">
        <v>9930</v>
      </c>
      <c r="U35" s="196">
        <v>1750</v>
      </c>
      <c r="V35" s="196"/>
      <c r="W35" s="195">
        <v>8180</v>
      </c>
      <c r="X35" s="230">
        <v>2158</v>
      </c>
      <c r="Z35" s="176"/>
      <c r="AA35" s="255"/>
      <c r="AB35" s="80"/>
      <c r="AC35" s="80"/>
      <c r="AD35" s="256"/>
      <c r="AE35" s="80"/>
      <c r="AF35" s="256"/>
      <c r="AG35" s="256"/>
      <c r="AH35" s="255"/>
      <c r="AI35" s="80"/>
    </row>
    <row r="36" spans="1:35">
      <c r="A36" s="96">
        <v>28</v>
      </c>
      <c r="B36" s="72" t="s">
        <v>212</v>
      </c>
      <c r="C36" s="269">
        <v>43377</v>
      </c>
      <c r="D36" s="269">
        <v>39657</v>
      </c>
      <c r="E36" s="207">
        <v>15425</v>
      </c>
      <c r="F36" s="175">
        <f t="shared" si="0"/>
        <v>1.129958816022926E-2</v>
      </c>
      <c r="G36" s="201">
        <v>23382</v>
      </c>
      <c r="H36" s="175">
        <f t="shared" si="1"/>
        <v>7.306069049258004E-3</v>
      </c>
      <c r="I36" s="201">
        <f t="shared" si="4"/>
        <v>38807</v>
      </c>
      <c r="J36" s="270">
        <f t="shared" si="5"/>
        <v>40614</v>
      </c>
      <c r="K36" s="177">
        <f t="shared" si="2"/>
        <v>8.9865493832063884E-3</v>
      </c>
      <c r="L36" s="79">
        <f t="shared" si="7"/>
        <v>11022</v>
      </c>
      <c r="M36" s="196">
        <f t="shared" si="8"/>
        <v>1750</v>
      </c>
      <c r="N36" s="196"/>
      <c r="O36" s="240">
        <f t="shared" si="9"/>
        <v>9272</v>
      </c>
      <c r="P36" s="118">
        <f t="shared" si="6"/>
        <v>2273</v>
      </c>
      <c r="Q36" s="80">
        <f t="shared" si="3"/>
        <v>-18</v>
      </c>
      <c r="R36" s="181">
        <f t="shared" si="14"/>
        <v>-1.93756727664155E-3</v>
      </c>
      <c r="S36" s="78"/>
      <c r="T36" s="194">
        <v>11040</v>
      </c>
      <c r="U36" s="196">
        <v>1750</v>
      </c>
      <c r="V36" s="196"/>
      <c r="W36" s="195">
        <v>9290</v>
      </c>
      <c r="X36" s="230">
        <v>2399</v>
      </c>
      <c r="Z36" s="176"/>
      <c r="AA36" s="255"/>
      <c r="AB36" s="80"/>
      <c r="AC36" s="80"/>
      <c r="AD36" s="256"/>
      <c r="AE36" s="80"/>
      <c r="AF36" s="256"/>
      <c r="AG36" s="256"/>
      <c r="AH36" s="255"/>
      <c r="AI36" s="80"/>
    </row>
    <row r="37" spans="1:35">
      <c r="A37" s="96">
        <v>29</v>
      </c>
      <c r="B37" s="72" t="s">
        <v>168</v>
      </c>
      <c r="C37" s="269">
        <v>20680</v>
      </c>
      <c r="D37" s="269">
        <v>20189</v>
      </c>
      <c r="E37" s="207">
        <v>10010</v>
      </c>
      <c r="F37" s="175">
        <f t="shared" si="0"/>
        <v>7.3328283620029099E-3</v>
      </c>
      <c r="G37" s="201">
        <v>10045</v>
      </c>
      <c r="H37" s="175">
        <f t="shared" si="1"/>
        <v>3.1387162603625286E-3</v>
      </c>
      <c r="I37" s="201">
        <f t="shared" si="4"/>
        <v>20055</v>
      </c>
      <c r="J37" s="270">
        <f t="shared" si="5"/>
        <v>20308</v>
      </c>
      <c r="K37" s="177">
        <f t="shared" si="2"/>
        <v>4.4934959588849984E-3</v>
      </c>
      <c r="L37" s="79">
        <f t="shared" si="7"/>
        <v>5511</v>
      </c>
      <c r="M37" s="196">
        <f t="shared" si="8"/>
        <v>1750</v>
      </c>
      <c r="N37" s="196"/>
      <c r="O37" s="240">
        <f t="shared" si="9"/>
        <v>3761</v>
      </c>
      <c r="P37" s="118">
        <f t="shared" si="6"/>
        <v>1137</v>
      </c>
      <c r="Q37" s="80">
        <f t="shared" si="3"/>
        <v>127</v>
      </c>
      <c r="R37" s="181">
        <f t="shared" si="14"/>
        <v>3.4947716015410017E-2</v>
      </c>
      <c r="S37" s="78"/>
      <c r="T37" s="194">
        <v>5384</v>
      </c>
      <c r="U37" s="196">
        <v>1750</v>
      </c>
      <c r="V37" s="196"/>
      <c r="W37" s="195">
        <v>3634</v>
      </c>
      <c r="X37" s="230">
        <v>1170</v>
      </c>
      <c r="Z37" s="176"/>
      <c r="AA37" s="255"/>
      <c r="AB37" s="80"/>
      <c r="AC37" s="80"/>
      <c r="AD37" s="256"/>
      <c r="AE37" s="80"/>
      <c r="AF37" s="256"/>
      <c r="AG37" s="256"/>
      <c r="AH37" s="255"/>
      <c r="AI37" s="80"/>
    </row>
    <row r="38" spans="1:35">
      <c r="A38" s="96">
        <v>30</v>
      </c>
      <c r="B38" s="128" t="s">
        <v>213</v>
      </c>
      <c r="C38" s="269">
        <v>53278</v>
      </c>
      <c r="D38" s="269">
        <v>54514</v>
      </c>
      <c r="E38" s="207">
        <v>29405</v>
      </c>
      <c r="F38" s="175">
        <f t="shared" si="0"/>
        <v>2.1540641157312242E-2</v>
      </c>
      <c r="G38" s="201">
        <v>21781</v>
      </c>
      <c r="H38" s="175">
        <f t="shared" si="1"/>
        <v>6.8058117338931053E-3</v>
      </c>
      <c r="I38" s="201">
        <f t="shared" si="4"/>
        <v>51186</v>
      </c>
      <c r="J38" s="270">
        <f t="shared" si="5"/>
        <v>52993</v>
      </c>
      <c r="K38" s="177">
        <f t="shared" si="2"/>
        <v>1.1725617064663815E-2</v>
      </c>
      <c r="L38" s="79">
        <f t="shared" si="7"/>
        <v>14381</v>
      </c>
      <c r="M38" s="196">
        <f t="shared" si="8"/>
        <v>1750</v>
      </c>
      <c r="N38" s="196"/>
      <c r="O38" s="240">
        <f t="shared" si="9"/>
        <v>12631</v>
      </c>
      <c r="P38" s="118">
        <f t="shared" si="6"/>
        <v>2966</v>
      </c>
      <c r="Q38" s="80">
        <f t="shared" si="3"/>
        <v>-511</v>
      </c>
      <c r="R38" s="181">
        <f t="shared" si="14"/>
        <v>-3.8882970628519253E-2</v>
      </c>
      <c r="S38" s="78"/>
      <c r="T38" s="194">
        <v>14892</v>
      </c>
      <c r="U38" s="196">
        <v>1750</v>
      </c>
      <c r="V38" s="196"/>
      <c r="W38" s="195">
        <v>13142</v>
      </c>
      <c r="X38" s="230">
        <v>3236</v>
      </c>
      <c r="Z38" s="176"/>
      <c r="AA38" s="255"/>
      <c r="AB38" s="80"/>
      <c r="AC38" s="80"/>
      <c r="AD38" s="256"/>
      <c r="AE38" s="80"/>
      <c r="AF38" s="256"/>
      <c r="AG38" s="256"/>
      <c r="AH38" s="255"/>
      <c r="AI38" s="80"/>
    </row>
    <row r="39" spans="1:35">
      <c r="A39" s="96">
        <v>31</v>
      </c>
      <c r="B39" s="128" t="s">
        <v>384</v>
      </c>
      <c r="C39" s="269">
        <v>15542</v>
      </c>
      <c r="D39" s="269">
        <v>19409</v>
      </c>
      <c r="E39" s="207">
        <v>11691</v>
      </c>
      <c r="F39" s="175">
        <f t="shared" si="0"/>
        <v>8.5642453926249775E-3</v>
      </c>
      <c r="G39" s="201">
        <v>2807</v>
      </c>
      <c r="H39" s="175">
        <f t="shared" si="1"/>
        <v>8.7709074592708992E-4</v>
      </c>
      <c r="I39" s="201">
        <f t="shared" si="4"/>
        <v>14498</v>
      </c>
      <c r="J39" s="270">
        <f t="shared" si="5"/>
        <v>16483</v>
      </c>
      <c r="K39" s="177">
        <f t="shared" si="2"/>
        <v>3.6471486059829346E-3</v>
      </c>
      <c r="L39" s="79">
        <f t="shared" si="7"/>
        <v>4473</v>
      </c>
      <c r="M39" s="196">
        <f t="shared" si="8"/>
        <v>1750</v>
      </c>
      <c r="N39" s="196"/>
      <c r="O39" s="240">
        <f t="shared" si="9"/>
        <v>2723</v>
      </c>
      <c r="P39" s="118">
        <f t="shared" si="6"/>
        <v>923</v>
      </c>
      <c r="Q39" s="80">
        <f t="shared" si="3"/>
        <v>-4</v>
      </c>
      <c r="R39" s="181">
        <f t="shared" si="14"/>
        <v>-1.4668133480014668E-3</v>
      </c>
      <c r="S39" s="78"/>
      <c r="T39" s="194">
        <v>4477</v>
      </c>
      <c r="U39" s="196">
        <v>1750</v>
      </c>
      <c r="V39" s="196"/>
      <c r="W39" s="195">
        <v>2727</v>
      </c>
      <c r="X39" s="230">
        <v>973</v>
      </c>
      <c r="Z39" s="176"/>
      <c r="AA39" s="255"/>
      <c r="AB39" s="80"/>
      <c r="AC39" s="80"/>
      <c r="AD39" s="256"/>
      <c r="AE39" s="80"/>
      <c r="AF39" s="256"/>
      <c r="AG39" s="256"/>
      <c r="AH39" s="255"/>
      <c r="AI39" s="80"/>
    </row>
    <row r="40" spans="1:35">
      <c r="A40" s="96">
        <v>32</v>
      </c>
      <c r="B40" s="72" t="s">
        <v>169</v>
      </c>
      <c r="C40" s="269">
        <v>218507</v>
      </c>
      <c r="D40" s="269">
        <v>240582</v>
      </c>
      <c r="E40" s="207">
        <v>62369</v>
      </c>
      <c r="F40" s="175">
        <f t="shared" si="0"/>
        <v>4.568842878219375E-2</v>
      </c>
      <c r="G40" s="201">
        <v>186092</v>
      </c>
      <c r="H40" s="175">
        <f t="shared" si="1"/>
        <v>5.8147335622039192E-2</v>
      </c>
      <c r="I40" s="201">
        <f t="shared" si="4"/>
        <v>248461</v>
      </c>
      <c r="J40" s="270">
        <f t="shared" si="5"/>
        <v>235850</v>
      </c>
      <c r="K40" s="177">
        <f t="shared" si="2"/>
        <v>5.2185888413582182E-2</v>
      </c>
      <c r="L40" s="79">
        <f t="shared" si="7"/>
        <v>64006</v>
      </c>
      <c r="M40" s="196">
        <f t="shared" si="8"/>
        <v>1750</v>
      </c>
      <c r="N40" s="196"/>
      <c r="O40" s="240">
        <f t="shared" si="9"/>
        <v>62256</v>
      </c>
      <c r="P40" s="118">
        <f t="shared" si="6"/>
        <v>13201</v>
      </c>
      <c r="Q40" s="80">
        <f t="shared" si="3"/>
        <v>4540</v>
      </c>
      <c r="R40" s="181">
        <f t="shared" si="14"/>
        <v>7.8661029870399884E-2</v>
      </c>
      <c r="S40" s="78"/>
      <c r="T40" s="194">
        <v>59466</v>
      </c>
      <c r="U40" s="196">
        <v>1750</v>
      </c>
      <c r="V40" s="196"/>
      <c r="W40" s="195">
        <v>57716</v>
      </c>
      <c r="X40" s="230">
        <v>12923</v>
      </c>
      <c r="Z40" s="176"/>
      <c r="AA40" s="255"/>
      <c r="AB40" s="80"/>
      <c r="AC40" s="80"/>
      <c r="AD40" s="256"/>
      <c r="AE40" s="80"/>
      <c r="AF40" s="256"/>
      <c r="AG40" s="256"/>
      <c r="AH40" s="255"/>
      <c r="AI40" s="80"/>
    </row>
    <row r="41" spans="1:35">
      <c r="A41" s="96">
        <v>33</v>
      </c>
      <c r="B41" s="128" t="s">
        <v>214</v>
      </c>
      <c r="C41" s="269">
        <v>115289</v>
      </c>
      <c r="D41" s="269">
        <v>117763</v>
      </c>
      <c r="E41" s="207">
        <v>41234</v>
      </c>
      <c r="F41" s="175">
        <f t="shared" si="0"/>
        <v>3.0205978489393406E-2</v>
      </c>
      <c r="G41" s="201">
        <v>78951</v>
      </c>
      <c r="H41" s="175">
        <f t="shared" si="1"/>
        <v>2.466946614951538E-2</v>
      </c>
      <c r="I41" s="201">
        <f t="shared" si="4"/>
        <v>120185</v>
      </c>
      <c r="J41" s="270">
        <f t="shared" si="5"/>
        <v>117746</v>
      </c>
      <c r="K41" s="177">
        <f t="shared" si="2"/>
        <v>2.6053337363348094E-2</v>
      </c>
      <c r="L41" s="79">
        <f t="shared" si="7"/>
        <v>31954</v>
      </c>
      <c r="M41" s="196">
        <f t="shared" si="8"/>
        <v>1750</v>
      </c>
      <c r="N41" s="196"/>
      <c r="O41" s="240">
        <f t="shared" si="9"/>
        <v>30204</v>
      </c>
      <c r="P41" s="118">
        <f t="shared" ref="P41:P62" si="15">ROUND(K41*$H$5,0)</f>
        <v>6591</v>
      </c>
      <c r="Q41" s="80">
        <f t="shared" si="3"/>
        <v>2639</v>
      </c>
      <c r="R41" s="181">
        <f t="shared" si="14"/>
        <v>9.5737348086341378E-2</v>
      </c>
      <c r="S41" s="78"/>
      <c r="T41" s="194">
        <v>29315</v>
      </c>
      <c r="U41" s="196">
        <v>1750</v>
      </c>
      <c r="V41" s="196"/>
      <c r="W41" s="195">
        <v>27565</v>
      </c>
      <c r="X41" s="230">
        <v>6371</v>
      </c>
      <c r="Z41" s="176"/>
      <c r="AA41" s="255"/>
      <c r="AB41" s="80"/>
      <c r="AC41" s="80"/>
      <c r="AD41" s="256"/>
      <c r="AE41" s="80"/>
      <c r="AF41" s="256"/>
      <c r="AG41" s="256"/>
      <c r="AH41" s="255"/>
      <c r="AI41" s="80"/>
    </row>
    <row r="42" spans="1:35">
      <c r="A42" s="96">
        <v>34</v>
      </c>
      <c r="B42" s="72" t="s">
        <v>215</v>
      </c>
      <c r="C42" s="269">
        <v>32419</v>
      </c>
      <c r="D42" s="269">
        <v>34832</v>
      </c>
      <c r="E42" s="207">
        <v>15121</v>
      </c>
      <c r="F42" s="175">
        <f t="shared" si="0"/>
        <v>1.1076892873311289E-2</v>
      </c>
      <c r="G42" s="201">
        <v>25718</v>
      </c>
      <c r="H42" s="175">
        <f t="shared" si="1"/>
        <v>8.0359885300152825E-3</v>
      </c>
      <c r="I42" s="201">
        <f t="shared" si="4"/>
        <v>40839</v>
      </c>
      <c r="J42" s="270">
        <f t="shared" si="5"/>
        <v>36030</v>
      </c>
      <c r="K42" s="177">
        <f t="shared" si="2"/>
        <v>7.9722601634147384E-3</v>
      </c>
      <c r="L42" s="79">
        <f t="shared" si="7"/>
        <v>9778</v>
      </c>
      <c r="M42" s="196">
        <f t="shared" si="8"/>
        <v>1750</v>
      </c>
      <c r="N42" s="196"/>
      <c r="O42" s="240">
        <f t="shared" si="9"/>
        <v>8028</v>
      </c>
      <c r="P42" s="118">
        <f t="shared" si="15"/>
        <v>2017</v>
      </c>
      <c r="Q42" s="80">
        <f t="shared" si="3"/>
        <v>-381</v>
      </c>
      <c r="R42" s="181">
        <f t="shared" ref="R42:R63" si="16">(O42-W42)/W42</f>
        <v>-4.5308597930788438E-2</v>
      </c>
      <c r="S42" s="78"/>
      <c r="T42" s="194">
        <v>10159</v>
      </c>
      <c r="U42" s="196">
        <v>1750</v>
      </c>
      <c r="V42" s="196"/>
      <c r="W42" s="195">
        <v>8409</v>
      </c>
      <c r="X42" s="230">
        <v>2208</v>
      </c>
      <c r="Z42" s="176"/>
      <c r="AA42" s="255"/>
      <c r="AB42" s="80"/>
      <c r="AC42" s="80"/>
      <c r="AD42" s="256"/>
      <c r="AE42" s="80"/>
      <c r="AF42" s="256"/>
      <c r="AG42" s="256"/>
      <c r="AH42" s="255"/>
      <c r="AI42" s="80"/>
    </row>
    <row r="43" spans="1:35">
      <c r="A43" s="96">
        <v>35</v>
      </c>
      <c r="B43" s="72" t="s">
        <v>170</v>
      </c>
      <c r="C43" s="269">
        <v>253208</v>
      </c>
      <c r="D43" s="269">
        <v>257956</v>
      </c>
      <c r="E43" s="207">
        <v>44498</v>
      </c>
      <c r="F43" s="175">
        <f t="shared" ref="F43:F62" si="17">E43/$E$63</f>
        <v>3.2597022622617933E-2</v>
      </c>
      <c r="G43" s="201">
        <v>207230</v>
      </c>
      <c r="H43" s="175">
        <f t="shared" ref="H43:H62" si="18">G43/$G$63</f>
        <v>6.4752232019405359E-2</v>
      </c>
      <c r="I43" s="201">
        <f t="shared" si="4"/>
        <v>251728</v>
      </c>
      <c r="J43" s="270">
        <f t="shared" si="5"/>
        <v>254297</v>
      </c>
      <c r="K43" s="177">
        <f t="shared" ref="K43:K62" si="19">J43/$J$63</f>
        <v>5.6267605961029081E-2</v>
      </c>
      <c r="L43" s="79">
        <f t="shared" si="7"/>
        <v>69012</v>
      </c>
      <c r="M43" s="196">
        <f t="shared" si="8"/>
        <v>1750</v>
      </c>
      <c r="N43" s="196"/>
      <c r="O43" s="240">
        <f t="shared" si="9"/>
        <v>67262</v>
      </c>
      <c r="P43" s="118">
        <f t="shared" si="15"/>
        <v>14234</v>
      </c>
      <c r="Q43" s="80">
        <f t="shared" si="3"/>
        <v>3692</v>
      </c>
      <c r="R43" s="181">
        <f t="shared" si="16"/>
        <v>5.8077709611451943E-2</v>
      </c>
      <c r="S43" s="78"/>
      <c r="T43" s="194">
        <v>65320</v>
      </c>
      <c r="U43" s="196">
        <v>1750</v>
      </c>
      <c r="V43" s="196"/>
      <c r="W43" s="195">
        <v>63570</v>
      </c>
      <c r="X43" s="230">
        <v>14196</v>
      </c>
      <c r="Z43" s="176"/>
      <c r="AA43" s="255"/>
      <c r="AB43" s="80"/>
      <c r="AC43" s="80"/>
      <c r="AD43" s="256"/>
      <c r="AE43" s="80"/>
      <c r="AF43" s="256"/>
      <c r="AG43" s="256"/>
      <c r="AH43" s="255"/>
      <c r="AI43" s="80"/>
    </row>
    <row r="44" spans="1:35">
      <c r="A44" s="96">
        <v>36</v>
      </c>
      <c r="B44" s="72" t="s">
        <v>216</v>
      </c>
      <c r="C44" s="269">
        <v>35086</v>
      </c>
      <c r="D44" s="269">
        <v>33641</v>
      </c>
      <c r="E44" s="207">
        <v>16926</v>
      </c>
      <c r="F44" s="175">
        <f t="shared" si="17"/>
        <v>1.2399146139386738E-2</v>
      </c>
      <c r="G44" s="201">
        <v>18163</v>
      </c>
      <c r="H44" s="175">
        <f t="shared" si="18"/>
        <v>5.6753114422065315E-3</v>
      </c>
      <c r="I44" s="201">
        <f t="shared" si="4"/>
        <v>35089</v>
      </c>
      <c r="J44" s="270">
        <f t="shared" si="5"/>
        <v>34605</v>
      </c>
      <c r="K44" s="177">
        <f t="shared" si="19"/>
        <v>7.6569542868433812E-3</v>
      </c>
      <c r="L44" s="79">
        <f t="shared" si="7"/>
        <v>9391</v>
      </c>
      <c r="M44" s="196">
        <f t="shared" si="8"/>
        <v>1750</v>
      </c>
      <c r="N44" s="196"/>
      <c r="O44" s="240">
        <f t="shared" si="9"/>
        <v>7641</v>
      </c>
      <c r="P44" s="118">
        <f t="shared" si="15"/>
        <v>1937</v>
      </c>
      <c r="Q44" s="80">
        <f t="shared" si="3"/>
        <v>149</v>
      </c>
      <c r="R44" s="181">
        <f t="shared" si="16"/>
        <v>1.988788040576615E-2</v>
      </c>
      <c r="S44" s="78"/>
      <c r="T44" s="194">
        <v>9242</v>
      </c>
      <c r="U44" s="196">
        <v>1750</v>
      </c>
      <c r="V44" s="196"/>
      <c r="W44" s="195">
        <v>7492</v>
      </c>
      <c r="X44" s="230">
        <v>2009</v>
      </c>
      <c r="Z44" s="176"/>
      <c r="AA44" s="255"/>
      <c r="AB44" s="80"/>
      <c r="AC44" s="80"/>
      <c r="AD44" s="256"/>
      <c r="AE44" s="80"/>
      <c r="AF44" s="256"/>
      <c r="AG44" s="256"/>
      <c r="AH44" s="255"/>
      <c r="AI44" s="80"/>
    </row>
    <row r="45" spans="1:35">
      <c r="A45" s="96">
        <v>37</v>
      </c>
      <c r="B45" s="72" t="s">
        <v>171</v>
      </c>
      <c r="C45" s="269">
        <v>212561</v>
      </c>
      <c r="D45" s="269">
        <v>218817</v>
      </c>
      <c r="E45" s="207">
        <v>52772</v>
      </c>
      <c r="F45" s="175">
        <f t="shared" si="17"/>
        <v>3.8658143688273479E-2</v>
      </c>
      <c r="G45" s="201">
        <v>174356</v>
      </c>
      <c r="H45" s="175">
        <f t="shared" si="18"/>
        <v>5.4480240148508614E-2</v>
      </c>
      <c r="I45" s="201">
        <f t="shared" si="4"/>
        <v>227128</v>
      </c>
      <c r="J45" s="270">
        <f t="shared" si="5"/>
        <v>219502</v>
      </c>
      <c r="K45" s="177">
        <f t="shared" si="19"/>
        <v>4.8568610890642849E-2</v>
      </c>
      <c r="L45" s="79">
        <f t="shared" si="7"/>
        <v>59569</v>
      </c>
      <c r="M45" s="196">
        <f t="shared" si="8"/>
        <v>1750</v>
      </c>
      <c r="N45" s="196"/>
      <c r="O45" s="240">
        <f t="shared" si="9"/>
        <v>57819</v>
      </c>
      <c r="P45" s="118">
        <f t="shared" si="15"/>
        <v>12286</v>
      </c>
      <c r="Q45" s="80">
        <f t="shared" si="3"/>
        <v>3617</v>
      </c>
      <c r="R45" s="181">
        <f t="shared" si="16"/>
        <v>6.6731854913102837E-2</v>
      </c>
      <c r="S45" s="78"/>
      <c r="T45" s="194">
        <v>55952</v>
      </c>
      <c r="U45" s="196">
        <v>1750</v>
      </c>
      <c r="V45" s="196"/>
      <c r="W45" s="195">
        <v>54202</v>
      </c>
      <c r="X45" s="230">
        <v>12160</v>
      </c>
      <c r="Z45" s="176"/>
      <c r="AA45" s="255"/>
      <c r="AB45" s="80"/>
      <c r="AC45" s="80"/>
      <c r="AD45" s="256"/>
      <c r="AE45" s="80"/>
      <c r="AF45" s="256"/>
      <c r="AG45" s="256"/>
      <c r="AH45" s="255"/>
      <c r="AI45" s="80"/>
    </row>
    <row r="46" spans="1:35">
      <c r="A46" s="96">
        <v>38</v>
      </c>
      <c r="B46" s="128" t="s">
        <v>217</v>
      </c>
      <c r="C46" s="269">
        <v>27987</v>
      </c>
      <c r="D46" s="269">
        <v>25532</v>
      </c>
      <c r="E46" s="207">
        <v>12480</v>
      </c>
      <c r="F46" s="175">
        <f t="shared" si="17"/>
        <v>9.1422275682114199E-3</v>
      </c>
      <c r="G46" s="201">
        <v>8793</v>
      </c>
      <c r="H46" s="175">
        <f t="shared" si="18"/>
        <v>2.7475094153676174E-3</v>
      </c>
      <c r="I46" s="201">
        <f t="shared" si="4"/>
        <v>21273</v>
      </c>
      <c r="J46" s="270">
        <f t="shared" si="5"/>
        <v>24931</v>
      </c>
      <c r="K46" s="177">
        <f t="shared" si="19"/>
        <v>5.5164146026670229E-3</v>
      </c>
      <c r="L46" s="79">
        <f t="shared" si="7"/>
        <v>6766</v>
      </c>
      <c r="M46" s="196">
        <f t="shared" si="8"/>
        <v>1750</v>
      </c>
      <c r="N46" s="196"/>
      <c r="O46" s="240">
        <f t="shared" si="9"/>
        <v>5016</v>
      </c>
      <c r="P46" s="118">
        <f t="shared" si="15"/>
        <v>1395</v>
      </c>
      <c r="Q46" s="80">
        <f t="shared" si="3"/>
        <v>-318</v>
      </c>
      <c r="R46" s="181">
        <f t="shared" si="16"/>
        <v>-5.9617547806524188E-2</v>
      </c>
      <c r="S46" s="78"/>
      <c r="T46" s="194">
        <v>7084</v>
      </c>
      <c r="U46" s="196">
        <v>1750</v>
      </c>
      <c r="V46" s="196"/>
      <c r="W46" s="195">
        <v>5334</v>
      </c>
      <c r="X46" s="230">
        <v>1540</v>
      </c>
      <c r="Z46" s="176"/>
      <c r="AA46" s="255"/>
      <c r="AB46" s="80"/>
      <c r="AC46" s="80"/>
      <c r="AD46" s="256"/>
      <c r="AE46" s="80"/>
      <c r="AF46" s="256"/>
      <c r="AG46" s="256"/>
      <c r="AH46" s="255"/>
      <c r="AI46" s="80"/>
    </row>
    <row r="47" spans="1:35">
      <c r="A47" s="96">
        <v>39</v>
      </c>
      <c r="B47" s="72" t="s">
        <v>218</v>
      </c>
      <c r="C47" s="269">
        <v>76377</v>
      </c>
      <c r="D47" s="269">
        <v>77440</v>
      </c>
      <c r="E47" s="207">
        <v>26024</v>
      </c>
      <c r="F47" s="175">
        <f t="shared" si="17"/>
        <v>1.9063888640635736E-2</v>
      </c>
      <c r="G47" s="201">
        <v>52955</v>
      </c>
      <c r="H47" s="175">
        <f t="shared" si="18"/>
        <v>1.6546612201841483E-2</v>
      </c>
      <c r="I47" s="201">
        <f t="shared" si="4"/>
        <v>78979</v>
      </c>
      <c r="J47" s="270">
        <f t="shared" si="5"/>
        <v>77599</v>
      </c>
      <c r="K47" s="177">
        <f t="shared" si="19"/>
        <v>1.7170119800744389E-2</v>
      </c>
      <c r="L47" s="79">
        <f t="shared" si="7"/>
        <v>21059</v>
      </c>
      <c r="M47" s="196">
        <f t="shared" si="8"/>
        <v>1750</v>
      </c>
      <c r="N47" s="196"/>
      <c r="O47" s="240">
        <f t="shared" si="9"/>
        <v>19309</v>
      </c>
      <c r="P47" s="118">
        <f t="shared" si="15"/>
        <v>4343</v>
      </c>
      <c r="Q47" s="80">
        <f t="shared" si="3"/>
        <v>1717</v>
      </c>
      <c r="R47" s="181">
        <f t="shared" si="16"/>
        <v>9.7601182355616184E-2</v>
      </c>
      <c r="S47" s="78"/>
      <c r="T47" s="194">
        <v>19342</v>
      </c>
      <c r="U47" s="196">
        <v>1750</v>
      </c>
      <c r="V47" s="196"/>
      <c r="W47" s="195">
        <v>17592</v>
      </c>
      <c r="X47" s="230">
        <v>4203</v>
      </c>
      <c r="Z47" s="176"/>
      <c r="AA47" s="255"/>
      <c r="AB47" s="80"/>
      <c r="AC47" s="80"/>
      <c r="AD47" s="256"/>
      <c r="AE47" s="80"/>
      <c r="AF47" s="256"/>
      <c r="AG47" s="256"/>
      <c r="AH47" s="255"/>
      <c r="AI47" s="80"/>
    </row>
    <row r="48" spans="1:35">
      <c r="A48" s="96">
        <v>40</v>
      </c>
      <c r="B48" s="72" t="s">
        <v>219</v>
      </c>
      <c r="C48" s="269">
        <v>96169</v>
      </c>
      <c r="D48" s="269">
        <v>92954</v>
      </c>
      <c r="E48" s="207">
        <v>35488</v>
      </c>
      <c r="F48" s="175">
        <f t="shared" si="17"/>
        <v>2.5996744546529397E-2</v>
      </c>
      <c r="G48" s="201">
        <v>51154</v>
      </c>
      <c r="H48" s="175">
        <f t="shared" si="18"/>
        <v>1.5983861780247365E-2</v>
      </c>
      <c r="I48" s="201">
        <f t="shared" si="4"/>
        <v>86642</v>
      </c>
      <c r="J48" s="270">
        <f t="shared" si="5"/>
        <v>91922</v>
      </c>
      <c r="K48" s="177">
        <f t="shared" si="19"/>
        <v>2.0339331078029686E-2</v>
      </c>
      <c r="L48" s="79">
        <f t="shared" si="7"/>
        <v>24946</v>
      </c>
      <c r="M48" s="196">
        <f t="shared" si="8"/>
        <v>1750</v>
      </c>
      <c r="N48" s="196"/>
      <c r="O48" s="240">
        <f t="shared" si="9"/>
        <v>23196</v>
      </c>
      <c r="P48" s="118">
        <f t="shared" si="15"/>
        <v>5145</v>
      </c>
      <c r="Q48" s="80">
        <f t="shared" si="3"/>
        <v>364</v>
      </c>
      <c r="R48" s="181">
        <f t="shared" si="16"/>
        <v>1.5942536790469516E-2</v>
      </c>
      <c r="S48" s="78"/>
      <c r="T48" s="194">
        <v>24582</v>
      </c>
      <c r="U48" s="196">
        <v>1750</v>
      </c>
      <c r="V48" s="196"/>
      <c r="W48" s="195">
        <v>22832</v>
      </c>
      <c r="X48" s="230">
        <v>5342</v>
      </c>
      <c r="Z48" s="176"/>
      <c r="AA48" s="255"/>
      <c r="AB48" s="80"/>
      <c r="AC48" s="80"/>
      <c r="AD48" s="256"/>
      <c r="AE48" s="80"/>
      <c r="AF48" s="256"/>
      <c r="AG48" s="256"/>
      <c r="AH48" s="255"/>
      <c r="AI48" s="80"/>
    </row>
    <row r="49" spans="1:36">
      <c r="A49" s="96">
        <v>41</v>
      </c>
      <c r="B49" s="72" t="s">
        <v>172</v>
      </c>
      <c r="C49" s="269">
        <v>25885</v>
      </c>
      <c r="D49" s="269">
        <v>25876</v>
      </c>
      <c r="E49" s="207">
        <v>13433</v>
      </c>
      <c r="F49" s="175">
        <f t="shared" si="17"/>
        <v>9.840347990687821E-3</v>
      </c>
      <c r="G49" s="201">
        <v>10427</v>
      </c>
      <c r="H49" s="175">
        <f t="shared" si="18"/>
        <v>3.2580780932603371E-3</v>
      </c>
      <c r="I49" s="201">
        <f t="shared" si="4"/>
        <v>23860</v>
      </c>
      <c r="J49" s="270">
        <f t="shared" si="5"/>
        <v>25207</v>
      </c>
      <c r="K49" s="177">
        <f t="shared" si="19"/>
        <v>5.5774843724450546E-3</v>
      </c>
      <c r="L49" s="79">
        <f t="shared" si="7"/>
        <v>6841</v>
      </c>
      <c r="M49" s="196">
        <f t="shared" si="8"/>
        <v>1750</v>
      </c>
      <c r="N49" s="196"/>
      <c r="O49" s="240">
        <f t="shared" si="9"/>
        <v>5091</v>
      </c>
      <c r="P49" s="118">
        <f t="shared" si="15"/>
        <v>1411</v>
      </c>
      <c r="Q49" s="80">
        <f t="shared" si="3"/>
        <v>77</v>
      </c>
      <c r="R49" s="181">
        <f t="shared" si="16"/>
        <v>1.5357000398883127E-2</v>
      </c>
      <c r="S49" s="78"/>
      <c r="T49" s="194">
        <v>6764</v>
      </c>
      <c r="U49" s="196">
        <v>1750</v>
      </c>
      <c r="V49" s="196"/>
      <c r="W49" s="195">
        <v>5014</v>
      </c>
      <c r="X49" s="230">
        <v>1470</v>
      </c>
      <c r="Z49" s="176"/>
      <c r="AA49" s="255"/>
      <c r="AB49" s="80"/>
      <c r="AC49" s="80"/>
      <c r="AD49" s="256"/>
      <c r="AE49" s="80"/>
      <c r="AF49" s="256"/>
      <c r="AG49" s="256"/>
      <c r="AH49" s="255"/>
      <c r="AI49" s="80"/>
    </row>
    <row r="50" spans="1:36">
      <c r="A50" s="96">
        <v>42</v>
      </c>
      <c r="B50" s="128" t="s">
        <v>220</v>
      </c>
      <c r="C50" s="269">
        <v>61202</v>
      </c>
      <c r="D50" s="269">
        <v>60322</v>
      </c>
      <c r="E50" s="207">
        <v>19788</v>
      </c>
      <c r="F50" s="175">
        <f t="shared" si="17"/>
        <v>1.4495705057673685E-2</v>
      </c>
      <c r="G50" s="201">
        <v>39233</v>
      </c>
      <c r="H50" s="175">
        <f t="shared" si="18"/>
        <v>1.2258960183454763E-2</v>
      </c>
      <c r="I50" s="201">
        <f t="shared" si="4"/>
        <v>59021</v>
      </c>
      <c r="J50" s="270">
        <f t="shared" si="5"/>
        <v>60182</v>
      </c>
      <c r="K50" s="177">
        <f t="shared" si="19"/>
        <v>1.3316307553556086E-2</v>
      </c>
      <c r="L50" s="79">
        <f t="shared" si="7"/>
        <v>16332</v>
      </c>
      <c r="M50" s="196">
        <f t="shared" si="8"/>
        <v>1750</v>
      </c>
      <c r="N50" s="196"/>
      <c r="O50" s="240">
        <f t="shared" si="9"/>
        <v>14582</v>
      </c>
      <c r="P50" s="118">
        <f t="shared" si="15"/>
        <v>3369</v>
      </c>
      <c r="Q50" s="80">
        <f t="shared" si="3"/>
        <v>349</v>
      </c>
      <c r="R50" s="181">
        <f t="shared" si="16"/>
        <v>2.4520480573315535E-2</v>
      </c>
      <c r="S50" s="78"/>
      <c r="T50" s="194">
        <v>15983</v>
      </c>
      <c r="U50" s="196">
        <v>1750</v>
      </c>
      <c r="V50" s="196"/>
      <c r="W50" s="195">
        <v>14233</v>
      </c>
      <c r="X50" s="230">
        <v>3474</v>
      </c>
      <c r="Z50" s="176"/>
      <c r="AA50" s="255"/>
      <c r="AB50" s="80"/>
      <c r="AC50" s="80"/>
      <c r="AD50" s="256"/>
      <c r="AE50" s="80"/>
      <c r="AF50" s="256"/>
      <c r="AG50" s="256"/>
      <c r="AH50" s="255"/>
      <c r="AI50" s="80"/>
    </row>
    <row r="51" spans="1:36">
      <c r="A51" s="96">
        <v>43</v>
      </c>
      <c r="B51" s="128" t="s">
        <v>221</v>
      </c>
      <c r="C51" s="269">
        <v>35929</v>
      </c>
      <c r="D51" s="269">
        <v>35019</v>
      </c>
      <c r="E51" s="207">
        <v>15744</v>
      </c>
      <c r="F51" s="175">
        <f t="shared" si="17"/>
        <v>1.1533271701435945E-2</v>
      </c>
      <c r="G51" s="201">
        <v>18153</v>
      </c>
      <c r="H51" s="175">
        <f t="shared" si="18"/>
        <v>5.6721867868950709E-3</v>
      </c>
      <c r="I51" s="201">
        <f t="shared" si="4"/>
        <v>33897</v>
      </c>
      <c r="J51" s="270">
        <f t="shared" si="5"/>
        <v>34948</v>
      </c>
      <c r="K51" s="177">
        <f t="shared" si="19"/>
        <v>7.732848964502311E-3</v>
      </c>
      <c r="L51" s="79">
        <f t="shared" si="7"/>
        <v>9484</v>
      </c>
      <c r="M51" s="196">
        <f t="shared" si="8"/>
        <v>1750</v>
      </c>
      <c r="N51" s="196"/>
      <c r="O51" s="240">
        <f t="shared" si="9"/>
        <v>7734</v>
      </c>
      <c r="P51" s="118">
        <f t="shared" si="15"/>
        <v>1956</v>
      </c>
      <c r="Q51" s="80">
        <f t="shared" si="3"/>
        <v>-188</v>
      </c>
      <c r="R51" s="181">
        <f t="shared" si="16"/>
        <v>-2.3731380964402929E-2</v>
      </c>
      <c r="S51" s="78"/>
      <c r="T51" s="194">
        <v>9672</v>
      </c>
      <c r="U51" s="196">
        <v>1750</v>
      </c>
      <c r="V51" s="196"/>
      <c r="W51" s="195">
        <v>7922</v>
      </c>
      <c r="X51" s="230">
        <v>2102</v>
      </c>
      <c r="Z51" s="176"/>
      <c r="AA51" s="255"/>
      <c r="AB51" s="80"/>
      <c r="AC51" s="80"/>
      <c r="AD51" s="256"/>
      <c r="AE51" s="80"/>
      <c r="AF51" s="256"/>
      <c r="AG51" s="256"/>
      <c r="AH51" s="255"/>
      <c r="AI51" s="80"/>
    </row>
    <row r="52" spans="1:36">
      <c r="A52" s="96">
        <v>44</v>
      </c>
      <c r="B52" s="72" t="s">
        <v>222</v>
      </c>
      <c r="C52" s="269">
        <v>73659</v>
      </c>
      <c r="D52" s="269">
        <v>69895</v>
      </c>
      <c r="E52" s="207">
        <v>27038</v>
      </c>
      <c r="F52" s="175">
        <f t="shared" si="17"/>
        <v>1.9806694630552915E-2</v>
      </c>
      <c r="G52" s="201">
        <v>46338</v>
      </c>
      <c r="H52" s="175">
        <f t="shared" si="18"/>
        <v>1.447902778224777E-2</v>
      </c>
      <c r="I52" s="201">
        <f t="shared" si="4"/>
        <v>73376</v>
      </c>
      <c r="J52" s="270">
        <f t="shared" si="5"/>
        <v>72310</v>
      </c>
      <c r="K52" s="177">
        <f t="shared" si="19"/>
        <v>1.5999837147280593E-2</v>
      </c>
      <c r="L52" s="79">
        <f t="shared" si="7"/>
        <v>19624</v>
      </c>
      <c r="M52" s="196">
        <f t="shared" si="8"/>
        <v>1750</v>
      </c>
      <c r="N52" s="196"/>
      <c r="O52" s="240">
        <f t="shared" si="9"/>
        <v>17874</v>
      </c>
      <c r="P52" s="118">
        <f t="shared" si="15"/>
        <v>4047</v>
      </c>
      <c r="Q52" s="80">
        <f t="shared" si="3"/>
        <v>782</v>
      </c>
      <c r="R52" s="181">
        <f t="shared" si="16"/>
        <v>4.5752398783056404E-2</v>
      </c>
      <c r="S52" s="78"/>
      <c r="T52" s="194">
        <v>18842</v>
      </c>
      <c r="U52" s="196">
        <v>1750</v>
      </c>
      <c r="V52" s="196"/>
      <c r="W52" s="195">
        <v>17092</v>
      </c>
      <c r="X52" s="230">
        <v>4095</v>
      </c>
      <c r="Z52" s="176"/>
      <c r="AA52" s="255"/>
      <c r="AB52" s="80"/>
      <c r="AC52" s="80"/>
      <c r="AD52" s="256"/>
      <c r="AE52" s="80"/>
      <c r="AF52" s="256"/>
      <c r="AG52" s="256"/>
      <c r="AH52" s="255"/>
      <c r="AI52" s="80"/>
    </row>
    <row r="53" spans="1:36">
      <c r="A53" s="96">
        <v>45</v>
      </c>
      <c r="B53" s="128" t="s">
        <v>223</v>
      </c>
      <c r="C53" s="269">
        <v>167843</v>
      </c>
      <c r="D53" s="269">
        <v>164820</v>
      </c>
      <c r="E53" s="207">
        <v>30007</v>
      </c>
      <c r="F53" s="175">
        <f t="shared" si="17"/>
        <v>2.19816364294327E-2</v>
      </c>
      <c r="G53" s="201">
        <v>134111</v>
      </c>
      <c r="H53" s="175">
        <f t="shared" si="18"/>
        <v>4.1905064847534007E-2</v>
      </c>
      <c r="I53" s="201">
        <f t="shared" si="4"/>
        <v>164118</v>
      </c>
      <c r="J53" s="270">
        <f t="shared" si="5"/>
        <v>165594</v>
      </c>
      <c r="K53" s="177">
        <f t="shared" si="19"/>
        <v>3.6640534263127952E-2</v>
      </c>
      <c r="L53" s="79">
        <f t="shared" si="7"/>
        <v>44939</v>
      </c>
      <c r="M53" s="196">
        <f t="shared" si="8"/>
        <v>1750</v>
      </c>
      <c r="N53" s="196"/>
      <c r="O53" s="240">
        <f t="shared" si="9"/>
        <v>43189</v>
      </c>
      <c r="P53" s="118">
        <f t="shared" si="15"/>
        <v>9269</v>
      </c>
      <c r="Q53" s="80">
        <f t="shared" si="3"/>
        <v>2207</v>
      </c>
      <c r="R53" s="181">
        <f t="shared" si="16"/>
        <v>5.3852911034112536E-2</v>
      </c>
      <c r="S53" s="78"/>
      <c r="T53" s="194">
        <v>42732</v>
      </c>
      <c r="U53" s="196">
        <v>1750</v>
      </c>
      <c r="V53" s="196"/>
      <c r="W53" s="195">
        <v>40982</v>
      </c>
      <c r="X53" s="230">
        <v>9287</v>
      </c>
      <c r="Z53" s="176"/>
      <c r="AA53" s="255"/>
      <c r="AB53" s="80"/>
      <c r="AC53" s="80"/>
      <c r="AD53" s="256"/>
      <c r="AE53" s="80"/>
      <c r="AF53" s="256"/>
      <c r="AG53" s="256"/>
      <c r="AH53" s="255"/>
      <c r="AI53" s="80"/>
    </row>
    <row r="54" spans="1:36">
      <c r="A54" s="96">
        <v>46</v>
      </c>
      <c r="B54" s="72" t="s">
        <v>175</v>
      </c>
      <c r="C54" s="269">
        <v>287033</v>
      </c>
      <c r="D54" s="269">
        <v>276069</v>
      </c>
      <c r="E54" s="207">
        <v>69252</v>
      </c>
      <c r="F54" s="175">
        <f t="shared" si="17"/>
        <v>5.0730572400142407E-2</v>
      </c>
      <c r="G54" s="201">
        <v>210699</v>
      </c>
      <c r="H54" s="175">
        <f t="shared" si="18"/>
        <v>6.5836174946951168E-2</v>
      </c>
      <c r="I54" s="201">
        <f t="shared" si="4"/>
        <v>279951</v>
      </c>
      <c r="J54" s="270">
        <f t="shared" si="5"/>
        <v>281018</v>
      </c>
      <c r="K54" s="177">
        <f t="shared" si="19"/>
        <v>6.218008899812609E-2</v>
      </c>
      <c r="L54" s="79">
        <f t="shared" si="7"/>
        <v>76263</v>
      </c>
      <c r="M54" s="196">
        <f t="shared" si="8"/>
        <v>1750</v>
      </c>
      <c r="N54" s="236">
        <f>K72*M3</f>
        <v>3184.363998972608</v>
      </c>
      <c r="O54" s="240">
        <f t="shared" si="9"/>
        <v>71328.636001027393</v>
      </c>
      <c r="P54" s="118">
        <f t="shared" si="15"/>
        <v>15729</v>
      </c>
      <c r="Q54" s="80">
        <f t="shared" si="3"/>
        <v>3052.965926325327</v>
      </c>
      <c r="R54" s="181">
        <f t="shared" si="16"/>
        <v>4.4715283247824637E-2</v>
      </c>
      <c r="S54" s="78"/>
      <c r="T54" s="194">
        <v>73345</v>
      </c>
      <c r="U54" s="196">
        <v>1750</v>
      </c>
      <c r="V54" s="196">
        <v>3319.3299252979314</v>
      </c>
      <c r="W54" s="195">
        <v>68275.670074702066</v>
      </c>
      <c r="X54" s="230">
        <v>15940</v>
      </c>
      <c r="Z54" s="176"/>
      <c r="AA54" s="255"/>
      <c r="AB54" s="80"/>
      <c r="AC54" s="80"/>
      <c r="AD54" s="256"/>
      <c r="AE54" s="80"/>
      <c r="AF54" s="256"/>
      <c r="AG54" s="256"/>
      <c r="AH54" s="255"/>
      <c r="AI54" s="80"/>
    </row>
    <row r="55" spans="1:36">
      <c r="A55" s="96">
        <v>47</v>
      </c>
      <c r="B55" s="72" t="s">
        <v>224</v>
      </c>
      <c r="C55" s="269">
        <v>85404</v>
      </c>
      <c r="D55" s="269">
        <v>76515</v>
      </c>
      <c r="E55" s="207">
        <v>24876</v>
      </c>
      <c r="F55" s="175">
        <f t="shared" si="17"/>
        <v>1.8222920912406033E-2</v>
      </c>
      <c r="G55" s="201">
        <v>55911</v>
      </c>
      <c r="H55" s="175">
        <f t="shared" si="18"/>
        <v>1.7470260311909343E-2</v>
      </c>
      <c r="I55" s="201">
        <f t="shared" si="4"/>
        <v>80787</v>
      </c>
      <c r="J55" s="270">
        <f t="shared" si="5"/>
        <v>80902</v>
      </c>
      <c r="K55" s="177">
        <f t="shared" si="19"/>
        <v>1.7900965632544522E-2</v>
      </c>
      <c r="L55" s="79">
        <f t="shared" si="7"/>
        <v>21955</v>
      </c>
      <c r="M55" s="196">
        <f t="shared" si="8"/>
        <v>1750</v>
      </c>
      <c r="N55" s="196"/>
      <c r="O55" s="240">
        <f t="shared" si="9"/>
        <v>20205</v>
      </c>
      <c r="P55" s="118">
        <f t="shared" si="15"/>
        <v>4528</v>
      </c>
      <c r="Q55" s="80">
        <f t="shared" si="3"/>
        <v>31</v>
      </c>
      <c r="R55" s="181">
        <f t="shared" si="16"/>
        <v>1.536631307623674E-3</v>
      </c>
      <c r="S55" s="78"/>
      <c r="T55" s="194">
        <v>21924</v>
      </c>
      <c r="U55" s="196">
        <v>1750</v>
      </c>
      <c r="V55" s="196"/>
      <c r="W55" s="195">
        <v>20174</v>
      </c>
      <c r="X55" s="230">
        <v>4765</v>
      </c>
      <c r="Z55" s="176"/>
      <c r="AA55" s="255"/>
      <c r="AB55" s="80"/>
      <c r="AC55" s="80"/>
      <c r="AD55" s="256"/>
      <c r="AE55" s="80"/>
      <c r="AF55" s="256"/>
      <c r="AG55" s="256"/>
      <c r="AH55" s="255"/>
      <c r="AI55" s="80"/>
    </row>
    <row r="56" spans="1:36">
      <c r="A56" s="96">
        <v>48</v>
      </c>
      <c r="B56" s="128" t="s">
        <v>225</v>
      </c>
      <c r="C56" s="269">
        <v>15497</v>
      </c>
      <c r="D56" s="269">
        <v>14904</v>
      </c>
      <c r="E56" s="207">
        <v>9048</v>
      </c>
      <c r="F56" s="175">
        <f t="shared" si="17"/>
        <v>6.6281149869532796E-3</v>
      </c>
      <c r="G56" s="201">
        <v>5918</v>
      </c>
      <c r="H56" s="175">
        <f t="shared" si="18"/>
        <v>1.8491710133225927E-3</v>
      </c>
      <c r="I56" s="201">
        <f t="shared" si="4"/>
        <v>14966</v>
      </c>
      <c r="J56" s="270">
        <f t="shared" si="5"/>
        <v>15122</v>
      </c>
      <c r="K56" s="177">
        <f t="shared" si="19"/>
        <v>3.3460038354470628E-3</v>
      </c>
      <c r="L56" s="79">
        <f t="shared" si="7"/>
        <v>4104</v>
      </c>
      <c r="M56" s="196">
        <f t="shared" si="8"/>
        <v>1750</v>
      </c>
      <c r="N56" s="196"/>
      <c r="O56" s="240">
        <f t="shared" si="9"/>
        <v>2354</v>
      </c>
      <c r="P56" s="118">
        <f t="shared" si="15"/>
        <v>846</v>
      </c>
      <c r="Q56" s="80">
        <f>O56-W56</f>
        <v>29</v>
      </c>
      <c r="R56" s="181">
        <f t="shared" si="16"/>
        <v>1.2473118279569893E-2</v>
      </c>
      <c r="S56" s="78"/>
      <c r="T56" s="194">
        <v>4075</v>
      </c>
      <c r="U56" s="196">
        <v>1750</v>
      </c>
      <c r="V56" s="196"/>
      <c r="W56" s="195">
        <v>2325</v>
      </c>
      <c r="X56" s="230">
        <v>886</v>
      </c>
      <c r="Z56" s="176"/>
      <c r="AA56" s="255"/>
      <c r="AB56" s="80"/>
      <c r="AC56" s="80"/>
      <c r="AD56" s="256"/>
      <c r="AE56" s="80"/>
      <c r="AF56" s="256"/>
      <c r="AG56" s="256"/>
      <c r="AH56" s="255"/>
      <c r="AI56" s="80"/>
    </row>
    <row r="57" spans="1:36">
      <c r="A57" s="96">
        <v>49</v>
      </c>
      <c r="B57" s="72" t="s">
        <v>226</v>
      </c>
      <c r="C57" s="269">
        <v>69939</v>
      </c>
      <c r="D57" s="269">
        <v>67983</v>
      </c>
      <c r="E57" s="207">
        <v>19627</v>
      </c>
      <c r="F57" s="175">
        <f t="shared" si="17"/>
        <v>1.4377764461641469E-2</v>
      </c>
      <c r="G57" s="201">
        <v>49297</v>
      </c>
      <c r="H57" s="175">
        <f t="shared" si="18"/>
        <v>1.5403613288909067E-2</v>
      </c>
      <c r="I57" s="201">
        <f t="shared" si="4"/>
        <v>68924</v>
      </c>
      <c r="J57" s="270">
        <f t="shared" si="5"/>
        <v>68949</v>
      </c>
      <c r="K57" s="177">
        <f t="shared" si="19"/>
        <v>1.5256157813135798E-2</v>
      </c>
      <c r="L57" s="79">
        <f t="shared" si="7"/>
        <v>18712</v>
      </c>
      <c r="M57" s="196">
        <f t="shared" si="8"/>
        <v>1750</v>
      </c>
      <c r="N57" s="196"/>
      <c r="O57" s="240">
        <f t="shared" si="9"/>
        <v>16962</v>
      </c>
      <c r="P57" s="118">
        <f t="shared" si="15"/>
        <v>3859</v>
      </c>
      <c r="Q57" s="80">
        <f t="shared" si="3"/>
        <v>765</v>
      </c>
      <c r="R57" s="181">
        <f t="shared" si="16"/>
        <v>4.7230968697907022E-2</v>
      </c>
      <c r="S57" s="78"/>
      <c r="T57" s="194">
        <v>17947</v>
      </c>
      <c r="U57" s="196">
        <v>1750</v>
      </c>
      <c r="V57" s="196"/>
      <c r="W57" s="195">
        <v>16197</v>
      </c>
      <c r="X57" s="230">
        <v>3900</v>
      </c>
      <c r="Z57" s="176"/>
      <c r="AA57" s="255"/>
      <c r="AB57" s="80"/>
      <c r="AC57" s="80"/>
      <c r="AD57" s="256"/>
      <c r="AE57" s="80"/>
      <c r="AF57" s="256"/>
      <c r="AG57" s="256"/>
      <c r="AH57" s="255"/>
      <c r="AI57" s="80"/>
    </row>
    <row r="58" spans="1:36">
      <c r="A58" s="96">
        <v>50</v>
      </c>
      <c r="B58" s="72" t="s">
        <v>227</v>
      </c>
      <c r="C58" s="269">
        <v>36174</v>
      </c>
      <c r="D58" s="269">
        <v>40281</v>
      </c>
      <c r="E58" s="207">
        <v>11182</v>
      </c>
      <c r="F58" s="175">
        <f t="shared" si="17"/>
        <v>8.1913772970945587E-3</v>
      </c>
      <c r="G58" s="201">
        <v>28075</v>
      </c>
      <c r="H58" s="175">
        <f t="shared" si="18"/>
        <v>8.7724697869266295E-3</v>
      </c>
      <c r="I58" s="201">
        <f t="shared" si="4"/>
        <v>39257</v>
      </c>
      <c r="J58" s="270">
        <f t="shared" si="5"/>
        <v>38571</v>
      </c>
      <c r="K58" s="177">
        <f t="shared" si="19"/>
        <v>8.5345003264798748E-3</v>
      </c>
      <c r="L58" s="79">
        <f t="shared" si="7"/>
        <v>10467</v>
      </c>
      <c r="M58" s="196">
        <f t="shared" si="8"/>
        <v>1750</v>
      </c>
      <c r="N58" s="196"/>
      <c r="O58" s="240">
        <f t="shared" si="9"/>
        <v>8717</v>
      </c>
      <c r="P58" s="118">
        <f t="shared" si="15"/>
        <v>2159</v>
      </c>
      <c r="Q58" s="80">
        <f t="shared" si="3"/>
        <v>393</v>
      </c>
      <c r="R58" s="181">
        <f t="shared" si="16"/>
        <v>4.7212878423834696E-2</v>
      </c>
      <c r="S58" s="78"/>
      <c r="T58" s="194">
        <v>10074</v>
      </c>
      <c r="U58" s="196">
        <v>1750</v>
      </c>
      <c r="V58" s="196"/>
      <c r="W58" s="195">
        <v>8324</v>
      </c>
      <c r="X58" s="230">
        <v>2189</v>
      </c>
      <c r="Z58" s="176"/>
      <c r="AA58" s="255"/>
      <c r="AB58" s="80"/>
      <c r="AC58" s="80"/>
      <c r="AD58" s="256"/>
      <c r="AE58" s="80"/>
      <c r="AF58" s="256"/>
      <c r="AG58" s="256"/>
      <c r="AH58" s="255"/>
      <c r="AI58" s="80"/>
    </row>
    <row r="59" spans="1:36">
      <c r="A59" s="96">
        <v>51</v>
      </c>
      <c r="B59" s="72" t="s">
        <v>177</v>
      </c>
      <c r="C59" s="269">
        <v>62757</v>
      </c>
      <c r="D59" s="269">
        <v>63064</v>
      </c>
      <c r="E59" s="207">
        <v>23507</v>
      </c>
      <c r="F59" s="175">
        <f t="shared" si="17"/>
        <v>1.7220059570989252E-2</v>
      </c>
      <c r="G59" s="201">
        <v>37750</v>
      </c>
      <c r="H59" s="175">
        <f t="shared" si="18"/>
        <v>1.1795573800765104E-2</v>
      </c>
      <c r="I59" s="201">
        <f t="shared" si="4"/>
        <v>61257</v>
      </c>
      <c r="J59" s="270">
        <f t="shared" si="5"/>
        <v>62359</v>
      </c>
      <c r="K59" s="177">
        <f t="shared" si="19"/>
        <v>1.3798006426044397E-2</v>
      </c>
      <c r="L59" s="79">
        <f t="shared" si="7"/>
        <v>16923</v>
      </c>
      <c r="M59" s="196">
        <f t="shared" si="8"/>
        <v>1750</v>
      </c>
      <c r="N59" s="196"/>
      <c r="O59" s="240">
        <f t="shared" si="9"/>
        <v>15173</v>
      </c>
      <c r="P59" s="118">
        <f t="shared" si="15"/>
        <v>3490</v>
      </c>
      <c r="Q59" s="80">
        <f t="shared" si="3"/>
        <v>1021</v>
      </c>
      <c r="R59" s="181">
        <f t="shared" si="16"/>
        <v>7.2145279819106845E-2</v>
      </c>
      <c r="S59" s="78"/>
      <c r="T59" s="194">
        <v>15902</v>
      </c>
      <c r="U59" s="196">
        <v>1750</v>
      </c>
      <c r="V59" s="196"/>
      <c r="W59" s="195">
        <v>14152</v>
      </c>
      <c r="X59" s="230">
        <v>3456</v>
      </c>
      <c r="Z59" s="176"/>
      <c r="AA59" s="255"/>
      <c r="AB59" s="80"/>
      <c r="AC59" s="80"/>
      <c r="AD59" s="256"/>
      <c r="AE59" s="80"/>
      <c r="AF59" s="256"/>
      <c r="AG59" s="256"/>
      <c r="AH59" s="255"/>
      <c r="AI59" s="80"/>
    </row>
    <row r="60" spans="1:36">
      <c r="A60" s="96">
        <v>52</v>
      </c>
      <c r="B60" s="128" t="s">
        <v>228</v>
      </c>
      <c r="C60" s="269">
        <v>53820</v>
      </c>
      <c r="D60" s="269">
        <v>55928</v>
      </c>
      <c r="E60" s="207">
        <v>18079</v>
      </c>
      <c r="F60" s="175">
        <f t="shared" si="17"/>
        <v>1.3243776619046015E-2</v>
      </c>
      <c r="G60" s="201">
        <v>37959</v>
      </c>
      <c r="H60" s="175">
        <f t="shared" si="18"/>
        <v>1.1860879096774636E-2</v>
      </c>
      <c r="I60" s="201">
        <f t="shared" si="4"/>
        <v>56038</v>
      </c>
      <c r="J60" s="270">
        <f t="shared" si="5"/>
        <v>55262</v>
      </c>
      <c r="K60" s="177">
        <f t="shared" si="19"/>
        <v>1.2227672527078137E-2</v>
      </c>
      <c r="L60" s="79">
        <f t="shared" si="7"/>
        <v>14997</v>
      </c>
      <c r="M60" s="196">
        <f t="shared" si="8"/>
        <v>1750</v>
      </c>
      <c r="N60" s="196"/>
      <c r="O60" s="240">
        <f t="shared" si="9"/>
        <v>13247</v>
      </c>
      <c r="P60" s="118">
        <f t="shared" si="15"/>
        <v>3093</v>
      </c>
      <c r="Q60" s="80">
        <f t="shared" si="3"/>
        <v>439</v>
      </c>
      <c r="R60" s="181">
        <f t="shared" si="16"/>
        <v>3.4275452841973766E-2</v>
      </c>
      <c r="S60" s="78"/>
      <c r="T60" s="194">
        <v>14558</v>
      </c>
      <c r="U60" s="196">
        <v>1750</v>
      </c>
      <c r="V60" s="196"/>
      <c r="W60" s="195">
        <v>12808</v>
      </c>
      <c r="X60" s="230">
        <v>3164</v>
      </c>
      <c r="Z60" s="176"/>
      <c r="AA60" s="255"/>
      <c r="AB60" s="80"/>
      <c r="AC60" s="80"/>
      <c r="AD60" s="256"/>
      <c r="AE60" s="80"/>
      <c r="AF60" s="256"/>
      <c r="AG60" s="256"/>
      <c r="AH60" s="255"/>
      <c r="AI60" s="80"/>
    </row>
    <row r="61" spans="1:36">
      <c r="A61" s="96">
        <v>53</v>
      </c>
      <c r="B61" s="128" t="s">
        <v>229</v>
      </c>
      <c r="C61" s="269">
        <v>27274</v>
      </c>
      <c r="D61" s="269">
        <v>27651</v>
      </c>
      <c r="E61" s="207">
        <v>14161</v>
      </c>
      <c r="F61" s="175">
        <f t="shared" si="17"/>
        <v>1.0373644598833488E-2</v>
      </c>
      <c r="G61" s="201">
        <v>17213</v>
      </c>
      <c r="H61" s="175">
        <f t="shared" si="18"/>
        <v>5.3784691876177411E-3</v>
      </c>
      <c r="I61" s="201">
        <f t="shared" si="4"/>
        <v>31374</v>
      </c>
      <c r="J61" s="270">
        <f t="shared" si="5"/>
        <v>28766</v>
      </c>
      <c r="K61" s="177">
        <f t="shared" si="19"/>
        <v>6.3649746283871321E-3</v>
      </c>
      <c r="L61" s="79">
        <f t="shared" si="7"/>
        <v>7807</v>
      </c>
      <c r="M61" s="196">
        <f t="shared" si="8"/>
        <v>1750</v>
      </c>
      <c r="N61" s="196"/>
      <c r="O61" s="240">
        <f t="shared" si="9"/>
        <v>6057</v>
      </c>
      <c r="P61" s="118">
        <f t="shared" si="15"/>
        <v>1610</v>
      </c>
      <c r="Q61" s="80">
        <f t="shared" si="3"/>
        <v>662</v>
      </c>
      <c r="R61" s="181">
        <f t="shared" si="16"/>
        <v>0.12270620945319741</v>
      </c>
      <c r="S61" s="78"/>
      <c r="T61" s="194">
        <v>7145</v>
      </c>
      <c r="U61" s="196">
        <v>1750</v>
      </c>
      <c r="V61" s="196"/>
      <c r="W61" s="195">
        <v>5395</v>
      </c>
      <c r="X61" s="230">
        <v>1553</v>
      </c>
      <c r="Z61" s="176"/>
      <c r="AA61" s="255"/>
      <c r="AB61" s="80"/>
      <c r="AC61" s="80"/>
      <c r="AD61" s="256"/>
      <c r="AE61" s="80"/>
      <c r="AF61" s="256"/>
      <c r="AG61" s="256"/>
      <c r="AH61" s="255"/>
      <c r="AI61" s="80"/>
    </row>
    <row r="62" spans="1:36" ht="15" customHeight="1" thickBot="1">
      <c r="A62" s="96">
        <v>54</v>
      </c>
      <c r="B62" s="72" t="s">
        <v>178</v>
      </c>
      <c r="C62" s="269">
        <v>34357</v>
      </c>
      <c r="D62" s="269">
        <v>34008</v>
      </c>
      <c r="E62" s="207">
        <v>14843</v>
      </c>
      <c r="F62" s="175">
        <f t="shared" si="17"/>
        <v>1.0873243893827092E-2</v>
      </c>
      <c r="G62" s="201">
        <v>17368</v>
      </c>
      <c r="H62" s="175">
        <f t="shared" si="18"/>
        <v>5.4269013449453861E-3</v>
      </c>
      <c r="I62" s="201">
        <f t="shared" si="4"/>
        <v>32211</v>
      </c>
      <c r="J62" s="270">
        <f t="shared" si="5"/>
        <v>33525</v>
      </c>
      <c r="K62" s="177">
        <f t="shared" si="19"/>
        <v>7.417985622494563E-3</v>
      </c>
      <c r="L62" s="79">
        <f t="shared" si="7"/>
        <v>9098</v>
      </c>
      <c r="M62" s="196">
        <f t="shared" si="8"/>
        <v>1750</v>
      </c>
      <c r="N62" s="264"/>
      <c r="O62" s="265">
        <f t="shared" si="9"/>
        <v>7348</v>
      </c>
      <c r="P62" s="266">
        <f t="shared" si="15"/>
        <v>1876</v>
      </c>
      <c r="Q62" s="257">
        <f t="shared" si="3"/>
        <v>-131</v>
      </c>
      <c r="R62" s="267">
        <f t="shared" si="16"/>
        <v>-1.7515710656504882E-2</v>
      </c>
      <c r="S62" s="78"/>
      <c r="T62" s="194">
        <v>9229</v>
      </c>
      <c r="U62" s="196">
        <v>1750</v>
      </c>
      <c r="V62" s="196"/>
      <c r="W62" s="195">
        <v>7479</v>
      </c>
      <c r="X62" s="230">
        <v>2006</v>
      </c>
      <c r="Z62" s="176"/>
      <c r="AA62" s="255"/>
      <c r="AB62" s="80"/>
      <c r="AC62" s="80"/>
      <c r="AD62" s="256"/>
      <c r="AE62" s="257"/>
      <c r="AF62" s="256"/>
      <c r="AG62" s="256"/>
      <c r="AH62" s="255"/>
      <c r="AI62" s="80"/>
    </row>
    <row r="63" spans="1:36" s="75" customFormat="1" ht="19.5" customHeight="1" thickBot="1">
      <c r="B63" s="81" t="s">
        <v>230</v>
      </c>
      <c r="C63" s="82">
        <f>SUM(C9:C62)</f>
        <v>4440001</v>
      </c>
      <c r="D63" s="82">
        <f>SUM(D9:D62)</f>
        <v>4552813</v>
      </c>
      <c r="E63" s="82">
        <f t="shared" ref="E63:Q63" si="20">SUM(E9:E62)</f>
        <v>1365094</v>
      </c>
      <c r="F63" s="83">
        <f t="shared" si="20"/>
        <v>0.99999999999999989</v>
      </c>
      <c r="G63" s="82">
        <f t="shared" si="20"/>
        <v>3200353</v>
      </c>
      <c r="H63" s="83">
        <f t="shared" si="20"/>
        <v>1</v>
      </c>
      <c r="I63" s="82">
        <f>SUM(I9:I62)</f>
        <v>4565447</v>
      </c>
      <c r="J63" s="82">
        <f t="shared" si="20"/>
        <v>4519421</v>
      </c>
      <c r="K63" s="83">
        <f t="shared" si="20"/>
        <v>1.0000000000000002</v>
      </c>
      <c r="L63" s="84">
        <f t="shared" si="20"/>
        <v>1226490</v>
      </c>
      <c r="M63" s="85">
        <f t="shared" si="20"/>
        <v>92750</v>
      </c>
      <c r="N63" s="85">
        <f t="shared" si="20"/>
        <v>15000</v>
      </c>
      <c r="O63" s="138">
        <f t="shared" si="20"/>
        <v>1118740</v>
      </c>
      <c r="P63" s="119">
        <f t="shared" si="20"/>
        <v>252962</v>
      </c>
      <c r="Q63" s="85">
        <f t="shared" si="20"/>
        <v>62501.000000000029</v>
      </c>
      <c r="R63" s="86">
        <f t="shared" si="16"/>
        <v>5.917316061989758E-2</v>
      </c>
      <c r="T63" s="152">
        <f>SUM(T9:T62)</f>
        <v>1163989</v>
      </c>
      <c r="U63" s="87">
        <f>SUM(U9:U62)</f>
        <v>92750</v>
      </c>
      <c r="V63" s="87">
        <f>SUM(V9:V62)</f>
        <v>15000</v>
      </c>
      <c r="W63" s="87">
        <f>SUM(W9:W62)</f>
        <v>1056239</v>
      </c>
      <c r="X63" s="153">
        <f>SUM(X9:X62)</f>
        <v>252969</v>
      </c>
      <c r="Z63" s="200"/>
      <c r="AA63" s="200"/>
      <c r="AB63" s="87"/>
      <c r="AC63" s="87"/>
      <c r="AE63" s="151"/>
      <c r="AI63" s="200"/>
    </row>
    <row r="64" spans="1:36">
      <c r="L64" s="88"/>
      <c r="M64" s="89"/>
      <c r="N64" s="89"/>
      <c r="O64" s="89"/>
      <c r="P64" s="89"/>
      <c r="Q64" s="89"/>
      <c r="R64" s="90"/>
      <c r="T64" s="91"/>
      <c r="X64" s="92"/>
      <c r="AB64" s="80"/>
      <c r="AI64" s="274"/>
      <c r="AJ64" s="128"/>
    </row>
    <row r="65" spans="2:28" ht="13.8" thickBot="1">
      <c r="E65" s="93"/>
      <c r="F65" s="93"/>
      <c r="G65" s="93"/>
      <c r="H65" s="93"/>
      <c r="I65" s="93"/>
      <c r="J65" s="93"/>
      <c r="K65" s="94"/>
      <c r="L65" s="97"/>
      <c r="M65" s="98"/>
      <c r="N65" s="98"/>
      <c r="O65" s="99"/>
      <c r="P65" s="99"/>
      <c r="Q65" s="99"/>
      <c r="R65" s="100"/>
      <c r="T65" s="101"/>
      <c r="U65" s="102"/>
      <c r="V65" s="102"/>
      <c r="W65" s="151"/>
      <c r="X65" s="100"/>
      <c r="AB65" s="254"/>
    </row>
    <row r="66" spans="2:28">
      <c r="E66" s="95"/>
      <c r="F66" s="95"/>
      <c r="G66" s="95"/>
      <c r="H66" s="95"/>
      <c r="I66" s="95"/>
      <c r="J66" s="95"/>
      <c r="K66" s="96"/>
    </row>
    <row r="68" spans="2:28">
      <c r="I68" s="103"/>
      <c r="J68" s="103"/>
    </row>
    <row r="69" spans="2:28">
      <c r="B69" s="71"/>
      <c r="C69" s="71"/>
      <c r="D69" s="71"/>
      <c r="G69" s="71"/>
      <c r="I69" s="71" t="s">
        <v>298</v>
      </c>
    </row>
    <row r="70" spans="2:28" ht="19.5" customHeight="1">
      <c r="B70" s="128"/>
      <c r="C70" s="128"/>
      <c r="D70" s="128"/>
      <c r="G70" s="128"/>
      <c r="I70" s="128" t="s">
        <v>166</v>
      </c>
      <c r="J70" s="80">
        <f>J31</f>
        <v>744050</v>
      </c>
      <c r="K70" s="239">
        <f>J70/$J$73</f>
        <v>0.56208167767084172</v>
      </c>
    </row>
    <row r="71" spans="2:28">
      <c r="B71" s="128"/>
      <c r="C71" s="128"/>
      <c r="D71" s="128"/>
      <c r="G71" s="128"/>
      <c r="I71" s="128" t="s">
        <v>165</v>
      </c>
      <c r="J71" s="80">
        <f>J22</f>
        <v>298672</v>
      </c>
      <c r="K71" s="239">
        <f>J71/$J$73</f>
        <v>0.22562738906431776</v>
      </c>
    </row>
    <row r="72" spans="2:28" ht="13.8" thickBot="1">
      <c r="B72" s="128"/>
      <c r="C72" s="128"/>
      <c r="D72" s="128"/>
      <c r="G72" s="128"/>
      <c r="I72" s="128" t="s">
        <v>175</v>
      </c>
      <c r="J72" s="80">
        <f>J54</f>
        <v>281018</v>
      </c>
      <c r="K72" s="239">
        <f>J72/$J$73</f>
        <v>0.21229093326484053</v>
      </c>
    </row>
    <row r="73" spans="2:28" ht="21" customHeight="1" thickBot="1">
      <c r="B73" s="128"/>
      <c r="C73" s="128"/>
      <c r="D73" s="128"/>
      <c r="G73" s="128"/>
      <c r="I73" s="128" t="s">
        <v>157</v>
      </c>
      <c r="J73" s="237">
        <f>SUM(J70:J72)</f>
        <v>1323740</v>
      </c>
      <c r="K73" s="238">
        <f>SUM(K70:K72)</f>
        <v>1</v>
      </c>
    </row>
  </sheetData>
  <mergeCells count="3">
    <mergeCell ref="L6:R6"/>
    <mergeCell ref="L7:R7"/>
    <mergeCell ref="T7:X7"/>
  </mergeCells>
  <phoneticPr fontId="9" type="noConversion"/>
  <conditionalFormatting sqref="AF9:AF62">
    <cfRule type="cellIs" dxfId="2" priority="2" operator="lessThan">
      <formula>$AF$6</formula>
    </cfRule>
    <cfRule type="cellIs" dxfId="1" priority="3" operator="greaterThan">
      <formula>$AF$6</formula>
    </cfRule>
  </conditionalFormatting>
  <conditionalFormatting sqref="AG9:AG62">
    <cfRule type="cellIs" dxfId="0" priority="1" operator="greaterThan">
      <formula>0</formula>
    </cfRule>
  </conditionalFormatting>
  <printOptions horizontalCentered="1" gridLines="1"/>
  <pageMargins left="0.2" right="0.2" top="0.52" bottom="0.41" header="0.23" footer="0.17"/>
  <pageSetup scale="54" orientation="landscape" r:id="rId1"/>
  <headerFooter>
    <oddHeader>&amp;C2026 Preliminary MORE Budget&amp;R&amp;D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T30"/>
  <sheetViews>
    <sheetView zoomScale="85" zoomScaleNormal="85" zoomScalePageLayoutView="85" workbookViewId="0"/>
  </sheetViews>
  <sheetFormatPr defaultColWidth="8.69921875" defaultRowHeight="13.8"/>
  <cols>
    <col min="1" max="1" width="32.69921875" customWidth="1"/>
    <col min="2" max="2" width="10.09765625" customWidth="1"/>
    <col min="3" max="8" width="9.3984375" customWidth="1"/>
    <col min="9" max="9" width="9.69921875" bestFit="1" customWidth="1"/>
    <col min="10" max="10" width="9.19921875" bestFit="1" customWidth="1"/>
    <col min="11" max="14" width="9" customWidth="1"/>
    <col min="15" max="15" width="9.3984375" customWidth="1"/>
    <col min="16" max="17" width="11" customWidth="1"/>
    <col min="18" max="20" width="0" hidden="1" customWidth="1"/>
  </cols>
  <sheetData>
    <row r="1" spans="1:20">
      <c r="A1" s="27" t="s">
        <v>231</v>
      </c>
      <c r="B1" s="18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>
      <c r="A2" s="27" t="s">
        <v>232</v>
      </c>
      <c r="B2" s="18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>
      <c r="A3" s="29">
        <v>45783</v>
      </c>
      <c r="B3" s="18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0">
      <c r="A4" s="30"/>
      <c r="B4" s="3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0" ht="14.4" thickBot="1">
      <c r="A5" s="28"/>
      <c r="B5" s="32"/>
      <c r="C5" s="310"/>
      <c r="D5" s="310"/>
      <c r="E5" s="310"/>
      <c r="F5" s="310"/>
      <c r="G5" s="155"/>
      <c r="H5" s="155"/>
      <c r="I5" s="310"/>
      <c r="J5" s="310"/>
      <c r="K5" s="27"/>
      <c r="L5" s="27"/>
      <c r="M5" s="27"/>
      <c r="N5" s="27"/>
      <c r="O5" s="28"/>
    </row>
    <row r="6" spans="1:20" ht="36" customHeight="1" thickBot="1">
      <c r="A6" s="28"/>
      <c r="B6" s="33" t="s">
        <v>233</v>
      </c>
      <c r="C6" s="34" t="s">
        <v>234</v>
      </c>
      <c r="D6" s="35">
        <v>2001</v>
      </c>
      <c r="E6" s="35">
        <v>2002</v>
      </c>
      <c r="F6" s="35">
        <v>2003</v>
      </c>
      <c r="G6" s="36" t="s">
        <v>235</v>
      </c>
      <c r="H6" s="36" t="s">
        <v>236</v>
      </c>
      <c r="I6" s="35">
        <v>2004</v>
      </c>
      <c r="J6" s="35" t="s">
        <v>237</v>
      </c>
      <c r="K6" s="37">
        <v>2011</v>
      </c>
      <c r="L6" s="37">
        <v>2012</v>
      </c>
      <c r="M6" s="37" t="s">
        <v>238</v>
      </c>
      <c r="N6" s="33" t="s">
        <v>446</v>
      </c>
      <c r="O6" s="38" t="s">
        <v>284</v>
      </c>
      <c r="P6" s="155"/>
      <c r="Q6" s="155"/>
      <c r="R6" s="155"/>
      <c r="S6" s="155"/>
      <c r="T6" s="39"/>
    </row>
    <row r="7" spans="1:20">
      <c r="A7" s="40" t="s">
        <v>239</v>
      </c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0</v>
      </c>
    </row>
    <row r="8" spans="1:20">
      <c r="A8" s="27" t="s">
        <v>240</v>
      </c>
      <c r="B8" s="3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>
        <v>24000</v>
      </c>
      <c r="N8" s="184"/>
      <c r="O8" s="42">
        <f>SUM(C8:N8)</f>
        <v>24000</v>
      </c>
      <c r="P8" s="184"/>
      <c r="Q8" s="184"/>
      <c r="R8" s="184"/>
      <c r="S8" s="184"/>
      <c r="T8" s="28"/>
    </row>
    <row r="9" spans="1:20">
      <c r="A9" s="28" t="s">
        <v>241</v>
      </c>
      <c r="B9" s="185">
        <v>54000</v>
      </c>
      <c r="C9" s="41">
        <f>$B$9/4</f>
        <v>13500</v>
      </c>
      <c r="D9" s="41">
        <f>$B$9/4</f>
        <v>13500</v>
      </c>
      <c r="E9" s="41">
        <f>$B$9/4</f>
        <v>13500</v>
      </c>
      <c r="F9" s="41">
        <v>13500</v>
      </c>
      <c r="G9" s="41">
        <v>-18507</v>
      </c>
      <c r="H9" s="41">
        <v>18507</v>
      </c>
      <c r="I9" s="28"/>
      <c r="J9" s="114">
        <v>11000</v>
      </c>
      <c r="K9" s="114"/>
      <c r="L9" s="114"/>
      <c r="M9" s="114">
        <v>-65000</v>
      </c>
      <c r="N9" s="114"/>
      <c r="O9" s="42">
        <f>SUM(C9:N9)</f>
        <v>0</v>
      </c>
      <c r="P9" s="41"/>
      <c r="Q9" s="28"/>
      <c r="R9" s="28"/>
      <c r="S9" s="28"/>
      <c r="T9" s="41"/>
    </row>
    <row r="10" spans="1:20">
      <c r="A10" s="28" t="s">
        <v>242</v>
      </c>
      <c r="B10" s="185">
        <v>28000</v>
      </c>
      <c r="C10" s="41">
        <f>$B$10/4</f>
        <v>7000</v>
      </c>
      <c r="D10" s="41">
        <f>$B$10/4</f>
        <v>7000</v>
      </c>
      <c r="E10" s="41">
        <f>$B$10/4</f>
        <v>7000</v>
      </c>
      <c r="F10" s="41">
        <f>$B$10/4</f>
        <v>7000</v>
      </c>
      <c r="G10" s="41"/>
      <c r="H10" s="41"/>
      <c r="I10" s="277"/>
      <c r="J10" s="277">
        <v>-3000</v>
      </c>
      <c r="K10" s="114"/>
      <c r="L10" s="114"/>
      <c r="M10" s="114">
        <v>-25000</v>
      </c>
      <c r="N10" s="114"/>
      <c r="O10" s="42">
        <f>SUM(C10:N10)</f>
        <v>0</v>
      </c>
      <c r="P10" s="41"/>
      <c r="Q10" s="28"/>
      <c r="R10" s="28"/>
      <c r="S10" s="28"/>
      <c r="T10" s="41"/>
    </row>
    <row r="11" spans="1:20">
      <c r="A11" s="28"/>
      <c r="B11" s="32"/>
      <c r="C11" s="41"/>
      <c r="D11" s="28"/>
      <c r="E11" s="28"/>
      <c r="F11" s="28"/>
      <c r="G11" s="28"/>
      <c r="H11" s="28"/>
      <c r="I11" s="277"/>
      <c r="J11" s="277"/>
      <c r="K11" s="114"/>
      <c r="L11" s="114"/>
      <c r="M11" s="114"/>
      <c r="N11" s="114"/>
      <c r="O11" s="28"/>
      <c r="P11" s="28"/>
      <c r="Q11" s="28"/>
      <c r="R11" s="28"/>
      <c r="S11" s="28"/>
      <c r="T11" s="28"/>
    </row>
    <row r="12" spans="1:20">
      <c r="A12" s="28"/>
      <c r="B12" s="32"/>
      <c r="C12" s="41"/>
      <c r="D12" s="28"/>
      <c r="E12" s="28"/>
      <c r="F12" s="28"/>
      <c r="G12" s="28"/>
      <c r="H12" s="28"/>
      <c r="I12" s="277"/>
      <c r="J12" s="277"/>
      <c r="K12" s="114"/>
      <c r="L12" s="114"/>
      <c r="M12" s="114"/>
      <c r="N12" s="114"/>
      <c r="O12" s="28"/>
      <c r="P12" s="28"/>
      <c r="Q12" s="28"/>
      <c r="R12" s="28"/>
      <c r="S12" s="28"/>
      <c r="T12" s="28"/>
    </row>
    <row r="13" spans="1:20">
      <c r="A13" s="28"/>
      <c r="B13" s="32"/>
      <c r="C13" s="28"/>
      <c r="D13" s="28"/>
      <c r="E13" s="28"/>
      <c r="F13" s="28"/>
      <c r="G13" s="28"/>
      <c r="H13" s="28"/>
      <c r="I13" s="277"/>
      <c r="J13" s="277"/>
      <c r="K13" s="114"/>
      <c r="L13" s="114"/>
      <c r="M13" s="114"/>
      <c r="N13" s="114"/>
      <c r="O13" s="28"/>
      <c r="P13" s="28"/>
      <c r="Q13" s="28"/>
      <c r="R13" s="28"/>
      <c r="S13" s="28"/>
      <c r="T13" s="28"/>
    </row>
    <row r="14" spans="1:20">
      <c r="A14" s="27" t="s">
        <v>243</v>
      </c>
      <c r="B14" s="32"/>
      <c r="C14" s="28"/>
      <c r="D14" s="28"/>
      <c r="E14" s="28"/>
      <c r="F14" s="28"/>
      <c r="G14" s="28"/>
      <c r="H14" s="28"/>
      <c r="I14" s="277"/>
      <c r="J14" s="277"/>
      <c r="K14" s="114"/>
      <c r="L14" s="114"/>
      <c r="M14" s="114"/>
      <c r="N14" s="114"/>
      <c r="O14" s="28"/>
      <c r="P14" s="28"/>
      <c r="Q14" s="28"/>
      <c r="R14" s="28"/>
      <c r="S14" s="28"/>
      <c r="T14" s="28"/>
    </row>
    <row r="15" spans="1:20">
      <c r="A15" s="28" t="s">
        <v>244</v>
      </c>
      <c r="B15" s="185">
        <v>260000</v>
      </c>
      <c r="C15" s="114">
        <f>$B$15/10</f>
        <v>26000</v>
      </c>
      <c r="D15" s="114">
        <f>$B$15/10</f>
        <v>26000</v>
      </c>
      <c r="E15" s="114">
        <f>$B$15/10</f>
        <v>26000</v>
      </c>
      <c r="F15" s="114">
        <f>$B$15/10</f>
        <v>26000</v>
      </c>
      <c r="G15" s="114"/>
      <c r="H15" s="114"/>
      <c r="I15" s="114">
        <v>26000</v>
      </c>
      <c r="J15" s="277">
        <v>0</v>
      </c>
      <c r="K15" s="114">
        <v>-19683</v>
      </c>
      <c r="L15" s="114">
        <v>-85292</v>
      </c>
      <c r="M15" s="114">
        <v>94975</v>
      </c>
      <c r="N15" s="114"/>
      <c r="O15" s="42">
        <f>SUM(C15:N15)</f>
        <v>120000</v>
      </c>
      <c r="P15" s="182"/>
      <c r="Q15" s="28"/>
      <c r="R15" s="28"/>
      <c r="S15" s="28"/>
      <c r="T15" s="41"/>
    </row>
    <row r="16" spans="1:20">
      <c r="A16" s="28"/>
      <c r="B16" s="32"/>
      <c r="C16" s="28"/>
      <c r="D16" s="28"/>
      <c r="E16" s="28"/>
      <c r="F16" s="28"/>
      <c r="G16" s="28"/>
      <c r="H16" s="28"/>
      <c r="I16" s="277"/>
      <c r="J16" s="277"/>
      <c r="K16" s="114"/>
      <c r="L16" s="114"/>
      <c r="M16" s="114"/>
      <c r="N16" s="114"/>
      <c r="O16" s="28"/>
      <c r="P16" s="28"/>
      <c r="Q16" s="28"/>
      <c r="R16" s="28"/>
      <c r="S16" s="28"/>
      <c r="T16" s="28"/>
    </row>
    <row r="17" spans="1:20">
      <c r="A17" s="28"/>
      <c r="B17" s="32"/>
      <c r="C17" s="28"/>
      <c r="D17" s="28"/>
      <c r="E17" s="28"/>
      <c r="F17" s="28"/>
      <c r="G17" s="28"/>
      <c r="H17" s="28"/>
      <c r="I17" s="277"/>
      <c r="J17" s="277"/>
      <c r="K17" s="114"/>
      <c r="L17" s="114"/>
      <c r="M17" s="114"/>
      <c r="N17" s="114"/>
      <c r="O17" s="28"/>
      <c r="P17" s="28"/>
      <c r="Q17" s="28"/>
      <c r="R17" s="28"/>
      <c r="S17" s="28"/>
      <c r="T17" s="28"/>
    </row>
    <row r="18" spans="1:20">
      <c r="A18" s="28"/>
      <c r="B18" s="32"/>
      <c r="C18" s="28"/>
      <c r="D18" s="28"/>
      <c r="E18" s="28"/>
      <c r="F18" s="28"/>
      <c r="G18" s="28"/>
      <c r="H18" s="28"/>
      <c r="I18" s="277"/>
      <c r="J18" s="277"/>
      <c r="K18" s="114"/>
      <c r="L18" s="114"/>
      <c r="M18" s="114"/>
      <c r="N18" s="114"/>
      <c r="O18" s="28"/>
      <c r="P18" s="28"/>
      <c r="Q18" s="28"/>
      <c r="R18" s="28"/>
      <c r="S18" s="28"/>
      <c r="T18" s="28"/>
    </row>
    <row r="19" spans="1:20">
      <c r="A19" s="27" t="s">
        <v>245</v>
      </c>
      <c r="B19" s="32"/>
      <c r="C19" s="28"/>
      <c r="D19" s="28"/>
      <c r="E19" s="28"/>
      <c r="F19" s="28"/>
      <c r="G19" s="28"/>
      <c r="H19" s="28"/>
      <c r="I19" s="277"/>
      <c r="J19" s="277"/>
      <c r="K19" s="114"/>
      <c r="L19" s="114"/>
      <c r="M19" s="114"/>
      <c r="N19" s="114"/>
      <c r="O19" s="28"/>
      <c r="P19" s="28"/>
      <c r="Q19" s="28"/>
      <c r="R19" s="28"/>
      <c r="S19" s="28"/>
      <c r="T19" s="28"/>
    </row>
    <row r="20" spans="1:20">
      <c r="A20" s="28" t="s">
        <v>246</v>
      </c>
      <c r="B20" s="185">
        <v>30000</v>
      </c>
      <c r="C20" s="114">
        <f>$B$20/4</f>
        <v>7500</v>
      </c>
      <c r="D20" s="114">
        <f>$B$20/4</f>
        <v>7500</v>
      </c>
      <c r="E20" s="114">
        <f>$B$20/4</f>
        <v>7500</v>
      </c>
      <c r="F20" s="114">
        <v>7500</v>
      </c>
      <c r="G20" s="114">
        <v>-21000</v>
      </c>
      <c r="H20" s="114">
        <v>21000</v>
      </c>
      <c r="I20" s="277"/>
      <c r="J20" s="277">
        <v>-5000</v>
      </c>
      <c r="K20" s="114"/>
      <c r="L20" s="114"/>
      <c r="M20" s="114"/>
      <c r="N20" s="114"/>
      <c r="O20" s="42">
        <f>SUM(C20:N20)</f>
        <v>25000</v>
      </c>
      <c r="P20" s="182"/>
      <c r="Q20" s="28"/>
      <c r="R20" s="28"/>
      <c r="S20" s="28"/>
      <c r="T20" s="41"/>
    </row>
    <row r="21" spans="1:20">
      <c r="A21" s="28" t="s">
        <v>247</v>
      </c>
      <c r="B21" s="185">
        <v>30000</v>
      </c>
      <c r="C21" s="114">
        <f>$B$21/4</f>
        <v>7500</v>
      </c>
      <c r="D21" s="114">
        <f>$B$21/4</f>
        <v>7500</v>
      </c>
      <c r="E21" s="114">
        <f>$B$21/4</f>
        <v>7500</v>
      </c>
      <c r="F21" s="114">
        <f>$B$21/4</f>
        <v>7500</v>
      </c>
      <c r="G21" s="114"/>
      <c r="H21" s="114"/>
      <c r="I21" s="277"/>
      <c r="J21" s="277"/>
      <c r="K21" s="114"/>
      <c r="L21" s="114"/>
      <c r="O21" s="42">
        <f>SUM(C21:N21)</f>
        <v>30000</v>
      </c>
      <c r="P21" s="182"/>
      <c r="Q21" s="28"/>
      <c r="R21" s="28"/>
      <c r="S21" s="28"/>
      <c r="T21" s="41"/>
    </row>
    <row r="22" spans="1:20">
      <c r="A22" s="28"/>
      <c r="B22" s="32"/>
      <c r="C22" s="28"/>
      <c r="D22" s="28"/>
      <c r="E22" s="28"/>
      <c r="F22" s="28"/>
      <c r="G22" s="28"/>
      <c r="H22" s="28"/>
      <c r="I22" s="277"/>
      <c r="J22" s="277"/>
      <c r="K22" s="114"/>
      <c r="L22" s="114"/>
      <c r="M22" s="114"/>
      <c r="N22" s="114"/>
      <c r="O22" s="28"/>
      <c r="P22" s="28"/>
      <c r="Q22" s="28"/>
      <c r="R22" s="28"/>
      <c r="S22" s="28"/>
      <c r="T22" s="28"/>
    </row>
    <row r="23" spans="1:20">
      <c r="A23" s="28"/>
      <c r="B23" s="32"/>
      <c r="C23" s="28"/>
      <c r="D23" s="28"/>
      <c r="E23" s="28"/>
      <c r="F23" s="28"/>
      <c r="G23" s="28"/>
      <c r="H23" s="28"/>
      <c r="I23" s="277"/>
      <c r="J23" s="277"/>
      <c r="K23" s="114"/>
      <c r="L23" s="114"/>
      <c r="M23" s="114"/>
      <c r="N23" s="114"/>
      <c r="O23" s="28"/>
      <c r="P23" s="28"/>
      <c r="Q23" s="28"/>
      <c r="R23" s="28"/>
      <c r="S23" s="28"/>
      <c r="T23" s="28"/>
    </row>
    <row r="24" spans="1:20">
      <c r="A24" s="28"/>
      <c r="B24" s="32"/>
      <c r="C24" s="28"/>
      <c r="D24" s="28"/>
      <c r="E24" s="28"/>
      <c r="F24" s="28"/>
      <c r="G24" s="28"/>
      <c r="H24" s="28"/>
      <c r="I24" s="277"/>
      <c r="J24" s="277"/>
      <c r="K24" s="114"/>
      <c r="L24" s="114"/>
      <c r="M24" s="114"/>
      <c r="N24" s="114"/>
      <c r="O24" s="28"/>
      <c r="P24" s="28"/>
      <c r="Q24" s="28"/>
      <c r="R24" s="28"/>
      <c r="S24" s="28"/>
      <c r="T24" s="28"/>
    </row>
    <row r="25" spans="1:20">
      <c r="A25" s="27" t="s">
        <v>248</v>
      </c>
      <c r="B25" s="186">
        <v>0.1</v>
      </c>
      <c r="C25" s="43">
        <f>SUM(C9:C21)*0.1</f>
        <v>6150</v>
      </c>
      <c r="D25" s="43">
        <f>SUM(D9:D21)*0.1</f>
        <v>6150</v>
      </c>
      <c r="E25" s="43">
        <f>SUM(E9:E21)*0.1</f>
        <v>6150</v>
      </c>
      <c r="F25" s="43">
        <f>SUM(F9:F21)*0.1</f>
        <v>6150</v>
      </c>
      <c r="G25" s="43"/>
      <c r="H25" s="43"/>
      <c r="I25" s="277">
        <v>3400</v>
      </c>
      <c r="J25" s="277">
        <v>-3000</v>
      </c>
      <c r="K25" s="114"/>
      <c r="L25" s="114"/>
      <c r="M25" s="114"/>
      <c r="N25" s="114"/>
      <c r="O25" s="42">
        <f>SUM(C25:N25)</f>
        <v>25000</v>
      </c>
      <c r="P25" s="43"/>
      <c r="Q25" s="28"/>
      <c r="R25" s="28"/>
      <c r="S25" s="28"/>
      <c r="T25" s="43"/>
    </row>
    <row r="26" spans="1:20">
      <c r="A26" s="28"/>
      <c r="B26" s="32"/>
      <c r="C26" s="28"/>
      <c r="D26" s="28"/>
      <c r="E26" s="28"/>
      <c r="F26" s="28"/>
      <c r="G26" s="28"/>
      <c r="H26" s="28"/>
      <c r="I26" s="277"/>
      <c r="J26" s="277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4" thickBot="1">
      <c r="A27" s="28"/>
      <c r="B27" s="3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4" thickBot="1">
      <c r="A28" s="27" t="s">
        <v>249</v>
      </c>
      <c r="B28" s="32"/>
      <c r="C28" s="187">
        <f t="shared" ref="C28:K28" si="0">SUM(C9:C27)</f>
        <v>67650</v>
      </c>
      <c r="D28" s="187">
        <f t="shared" si="0"/>
        <v>67650</v>
      </c>
      <c r="E28" s="187">
        <f t="shared" si="0"/>
        <v>67650</v>
      </c>
      <c r="F28" s="187">
        <f t="shared" si="0"/>
        <v>67650</v>
      </c>
      <c r="G28" s="187">
        <f t="shared" si="0"/>
        <v>-39507</v>
      </c>
      <c r="H28" s="187">
        <f t="shared" si="0"/>
        <v>39507</v>
      </c>
      <c r="I28" s="187">
        <f t="shared" si="0"/>
        <v>29400</v>
      </c>
      <c r="J28" s="187">
        <f t="shared" si="0"/>
        <v>0</v>
      </c>
      <c r="K28" s="187">
        <f t="shared" si="0"/>
        <v>-19683</v>
      </c>
      <c r="L28" s="187">
        <f>SUM(L9:L27)</f>
        <v>-85292</v>
      </c>
      <c r="M28" s="187">
        <f>SUM(M8:M27)</f>
        <v>28975</v>
      </c>
      <c r="N28" s="187">
        <f>SUM(N8:N27)</f>
        <v>0</v>
      </c>
      <c r="O28" s="187">
        <f>SUM(O8:O27)</f>
        <v>224000</v>
      </c>
      <c r="P28" s="184"/>
      <c r="Q28" s="184"/>
      <c r="R28" s="184"/>
      <c r="S28" s="184"/>
      <c r="T28" s="184"/>
    </row>
    <row r="29" spans="1:20" ht="14.4" thickBot="1"/>
    <row r="30" spans="1:20" ht="14.4" thickBot="1">
      <c r="A30" s="44" t="s">
        <v>250</v>
      </c>
      <c r="C30" s="45">
        <f>C28</f>
        <v>67650</v>
      </c>
      <c r="D30" s="45">
        <f t="shared" ref="D30:K30" si="1">C30+D28</f>
        <v>135300</v>
      </c>
      <c r="E30" s="45">
        <f t="shared" si="1"/>
        <v>202950</v>
      </c>
      <c r="F30" s="45">
        <f t="shared" si="1"/>
        <v>270600</v>
      </c>
      <c r="G30" s="45">
        <f t="shared" si="1"/>
        <v>231093</v>
      </c>
      <c r="H30" s="45">
        <f t="shared" si="1"/>
        <v>270600</v>
      </c>
      <c r="I30" s="45">
        <f t="shared" si="1"/>
        <v>300000</v>
      </c>
      <c r="J30" s="45">
        <f t="shared" si="1"/>
        <v>300000</v>
      </c>
      <c r="K30" s="45">
        <f t="shared" si="1"/>
        <v>280317</v>
      </c>
      <c r="L30" s="45">
        <f>K30+L28</f>
        <v>195025</v>
      </c>
      <c r="M30" s="45">
        <f>L30+M28</f>
        <v>224000</v>
      </c>
      <c r="N30" s="45">
        <f>M30+N28</f>
        <v>224000</v>
      </c>
      <c r="O30" s="45"/>
    </row>
  </sheetData>
  <mergeCells count="3">
    <mergeCell ref="C5:D5"/>
    <mergeCell ref="E5:F5"/>
    <mergeCell ref="I5:J5"/>
  </mergeCells>
  <phoneticPr fontId="0" type="noConversion"/>
  <pageMargins left="0.34" right="0.41" top="0.55000000000000004" bottom="0.25" header="0.25" footer="0.25"/>
  <pageSetup scale="73" orientation="landscape" r:id="rId1"/>
  <headerFooter>
    <oddHeader>&amp;C&amp;K0000002025 Approved MORE Budget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E3B040B91C439A2460F3AEB9B2CA" ma:contentTypeVersion="0" ma:contentTypeDescription="Create a new document." ma:contentTypeScope="" ma:versionID="eaf62145e79f53b1db992b06cfcb25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51e5d75fd9eb720630bb2bdd5622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CB666-7927-4ACB-A1F0-B8752160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E8C259-3899-4BA0-803B-1335817CCB1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860BAE2-2262-4C24-9CF2-332B2C49F7D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1DD48A2-48B5-40FB-A823-09222F950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2026 Preliminary budget</vt:lpstr>
      <vt:lpstr>Carryover</vt:lpstr>
      <vt:lpstr>2026 Cost to Libs</vt:lpstr>
      <vt:lpstr>MORE Formula w 3-yr Avg '22-'24</vt:lpstr>
      <vt:lpstr>Reserves</vt:lpstr>
      <vt:lpstr>'2026 Cost to Libs'!Print_Area</vt:lpstr>
      <vt:lpstr>'2026 Preliminary budget'!Print_Area</vt:lpstr>
      <vt:lpstr>Carryover!Print_Area</vt:lpstr>
      <vt:lpstr>'MORE Formula w 3-yr Avg ''22-''24'!Print_Area</vt:lpstr>
      <vt:lpstr>'2026 Cost to Libs'!Print_Titles</vt:lpstr>
      <vt:lpstr>'2026 Preliminary budget'!Print_Titles</vt:lpstr>
      <vt:lpstr>'MORE Formula w 3-yr Avg ''22-''24'!Print_Titles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Button</dc:creator>
  <cp:lastModifiedBy>Lori Roholt</cp:lastModifiedBy>
  <cp:lastPrinted>2024-05-15T16:04:48Z</cp:lastPrinted>
  <dcterms:created xsi:type="dcterms:W3CDTF">2001-03-30T14:44:35Z</dcterms:created>
  <dcterms:modified xsi:type="dcterms:W3CDTF">2025-05-12T18:56:53Z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0x0101005080E3B040B91C439A2460F3AEB9B2CA</vt:lpwstr>
  </property>
</Properties>
</file>