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"/>
    </mc:Choice>
  </mc:AlternateContent>
  <xr:revisionPtr revIDLastSave="0" documentId="13_ncr:1_{287FA05E-84C8-4ED5-96FE-3D01FC41D467}" xr6:coauthVersionLast="47" xr6:coauthVersionMax="47" xr10:uidLastSave="{00000000-0000-0000-0000-000000000000}"/>
  <bookViews>
    <workbookView xWindow="28680" yWindow="-120" windowWidth="24240" windowHeight="13290" tabRatio="573" xr2:uid="{00000000-000D-0000-FFFF-FFFF00000000}"/>
  </bookViews>
  <sheets>
    <sheet name="2025 Preliminary budget" sheetId="18" r:id="rId1"/>
    <sheet name="Carryover" sheetId="22" r:id="rId2"/>
    <sheet name="2025 Cost to Libs" sheetId="20" r:id="rId3"/>
    <sheet name="MORE Formula w 3-yr Avg '21-'23" sheetId="21" r:id="rId4"/>
    <sheet name="Reserves" sheetId="19" r:id="rId5"/>
  </sheets>
  <definedNames>
    <definedName name="_xlnm.Print_Area" localSheetId="2">'2025 Cost to Libs'!$A:$L</definedName>
    <definedName name="_xlnm.Print_Area" localSheetId="0">'2025 Preliminary budget'!$A$1:$J$49</definedName>
    <definedName name="_xlnm.Print_Area" localSheetId="1">Carryover!$A$1:$F$175</definedName>
    <definedName name="_xlnm.Print_Area" localSheetId="3">'MORE Formula w 3-yr Avg ''21-''23'!$A$1:$X$63</definedName>
    <definedName name="_xlnm.Print_Titles" localSheetId="2">'2025 Cost to Libs'!$10:$10</definedName>
    <definedName name="_xlnm.Print_Titles" localSheetId="0">'2025 Preliminary budget'!$5:$6</definedName>
    <definedName name="_xlnm.Print_Titles" localSheetId="3">'MORE Formula w 3-yr Avg ''21-''23'!$B:$B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20" l="1"/>
  <c r="D109" i="20"/>
  <c r="D105" i="20"/>
  <c r="D80" i="20"/>
  <c r="J65" i="20" l="1"/>
  <c r="D65" i="20"/>
  <c r="D64" i="20"/>
  <c r="F5" i="21" l="1"/>
  <c r="I39" i="21"/>
  <c r="J39" i="21" s="1"/>
  <c r="C156" i="22"/>
  <c r="C157" i="22"/>
  <c r="H33" i="18"/>
  <c r="H20" i="18"/>
  <c r="H18" i="18"/>
  <c r="H17" i="18"/>
  <c r="H16" i="18"/>
  <c r="H9" i="18"/>
  <c r="C143" i="22"/>
  <c r="C144" i="22"/>
  <c r="F130" i="20"/>
  <c r="D143" i="20"/>
  <c r="E139" i="20" s="1"/>
  <c r="D89" i="20" s="1"/>
  <c r="E138" i="20" l="1"/>
  <c r="E142" i="20"/>
  <c r="D106" i="20" s="1"/>
  <c r="E141" i="20"/>
  <c r="E140" i="20"/>
  <c r="D92" i="20" s="1"/>
  <c r="D103" i="20" l="1"/>
  <c r="D102" i="20"/>
  <c r="D85" i="20"/>
  <c r="D84" i="20"/>
  <c r="C150" i="22"/>
  <c r="I25" i="21" l="1"/>
  <c r="J25" i="21" s="1"/>
  <c r="I24" i="21" l="1"/>
  <c r="J24" i="21" s="1"/>
  <c r="I10" i="21"/>
  <c r="J10" i="21" s="1"/>
  <c r="I11" i="21"/>
  <c r="J11" i="21" s="1"/>
  <c r="I12" i="21"/>
  <c r="J12" i="21" s="1"/>
  <c r="I13" i="21"/>
  <c r="J13" i="21" s="1"/>
  <c r="I14" i="21"/>
  <c r="J14" i="21" s="1"/>
  <c r="I15" i="21"/>
  <c r="J15" i="21" s="1"/>
  <c r="I16" i="21"/>
  <c r="J16" i="21" s="1"/>
  <c r="I17" i="21"/>
  <c r="J17" i="21" s="1"/>
  <c r="I18" i="21"/>
  <c r="J18" i="21" s="1"/>
  <c r="I19" i="21"/>
  <c r="J19" i="21" s="1"/>
  <c r="I20" i="21"/>
  <c r="J20" i="21" s="1"/>
  <c r="I21" i="21"/>
  <c r="J21" i="21" s="1"/>
  <c r="I22" i="21"/>
  <c r="J22" i="21" s="1"/>
  <c r="I23" i="21"/>
  <c r="J23" i="21" s="1"/>
  <c r="I26" i="21"/>
  <c r="J26" i="21" s="1"/>
  <c r="I27" i="21"/>
  <c r="J27" i="21" s="1"/>
  <c r="I28" i="21"/>
  <c r="J28" i="21" s="1"/>
  <c r="I29" i="21"/>
  <c r="J29" i="21" s="1"/>
  <c r="I30" i="21"/>
  <c r="J30" i="21" s="1"/>
  <c r="I31" i="21"/>
  <c r="J31" i="21" s="1"/>
  <c r="I32" i="21"/>
  <c r="J32" i="21" s="1"/>
  <c r="I33" i="21"/>
  <c r="J33" i="21" s="1"/>
  <c r="I34" i="21"/>
  <c r="J34" i="21" s="1"/>
  <c r="I35" i="21"/>
  <c r="J35" i="21" s="1"/>
  <c r="I36" i="21"/>
  <c r="J36" i="21" s="1"/>
  <c r="I37" i="21"/>
  <c r="J37" i="21" s="1"/>
  <c r="I38" i="21"/>
  <c r="J38" i="21" s="1"/>
  <c r="I40" i="21"/>
  <c r="J40" i="21" s="1"/>
  <c r="I41" i="21"/>
  <c r="J41" i="21" s="1"/>
  <c r="I42" i="21"/>
  <c r="J42" i="21" s="1"/>
  <c r="I43" i="21"/>
  <c r="J43" i="21" s="1"/>
  <c r="I44" i="21"/>
  <c r="J44" i="21" s="1"/>
  <c r="I45" i="21"/>
  <c r="J45" i="21" s="1"/>
  <c r="I46" i="21"/>
  <c r="J46" i="21" s="1"/>
  <c r="I47" i="21"/>
  <c r="J47" i="21" s="1"/>
  <c r="I48" i="21"/>
  <c r="J48" i="21" s="1"/>
  <c r="I49" i="21"/>
  <c r="J49" i="21" s="1"/>
  <c r="I50" i="21"/>
  <c r="J50" i="21" s="1"/>
  <c r="I51" i="21"/>
  <c r="J51" i="21" s="1"/>
  <c r="I52" i="21"/>
  <c r="J52" i="21" s="1"/>
  <c r="I53" i="21"/>
  <c r="J53" i="21" s="1"/>
  <c r="I54" i="21"/>
  <c r="J54" i="21" s="1"/>
  <c r="I55" i="21"/>
  <c r="J55" i="21" s="1"/>
  <c r="I56" i="21"/>
  <c r="J56" i="21" s="1"/>
  <c r="I57" i="21"/>
  <c r="J57" i="21" s="1"/>
  <c r="I58" i="21"/>
  <c r="J58" i="21" s="1"/>
  <c r="I59" i="21"/>
  <c r="J59" i="21" s="1"/>
  <c r="I60" i="21"/>
  <c r="J60" i="21" s="1"/>
  <c r="I61" i="21"/>
  <c r="J61" i="21" s="1"/>
  <c r="I62" i="21"/>
  <c r="J62" i="21" s="1"/>
  <c r="I9" i="21"/>
  <c r="J9" i="21" s="1"/>
  <c r="I63" i="21" l="1"/>
  <c r="D63" i="21"/>
  <c r="C63" i="21"/>
  <c r="H37" i="18"/>
  <c r="H5" i="21" s="1"/>
  <c r="H44" i="18"/>
  <c r="D4" i="20" s="1"/>
  <c r="E5" i="21" l="1"/>
  <c r="C131" i="22"/>
  <c r="V63" i="21" l="1"/>
  <c r="E8" i="20" l="1"/>
  <c r="D91" i="20" l="1"/>
  <c r="D93" i="20" s="1"/>
  <c r="D111" i="20" l="1"/>
  <c r="D112" i="20" s="1"/>
  <c r="D96" i="20" l="1"/>
  <c r="D97" i="20" s="1"/>
  <c r="E44" i="18" l="1"/>
  <c r="D98" i="20" l="1"/>
  <c r="D99" i="20" s="1"/>
  <c r="D100" i="20"/>
  <c r="D101" i="20" s="1"/>
  <c r="D104" i="20"/>
  <c r="D107" i="20" s="1"/>
  <c r="D108" i="20"/>
  <c r="D110" i="20" s="1"/>
  <c r="D113" i="20"/>
  <c r="D114" i="20" s="1"/>
  <c r="D115" i="20"/>
  <c r="D116" i="20" s="1"/>
  <c r="D117" i="20"/>
  <c r="D119" i="20" s="1"/>
  <c r="D120" i="20"/>
  <c r="D121" i="20" s="1"/>
  <c r="D122" i="20"/>
  <c r="D123" i="20" s="1"/>
  <c r="D124" i="20"/>
  <c r="D125" i="20" s="1"/>
  <c r="D126" i="20"/>
  <c r="D127" i="20" s="1"/>
  <c r="D128" i="20"/>
  <c r="D129" i="20" s="1"/>
  <c r="D94" i="20"/>
  <c r="D95" i="20" s="1"/>
  <c r="D82" i="20"/>
  <c r="D83" i="20" s="1"/>
  <c r="D86" i="20"/>
  <c r="D87" i="20" s="1"/>
  <c r="D88" i="20"/>
  <c r="D90" i="20" s="1"/>
  <c r="D79" i="20"/>
  <c r="D81" i="20" s="1"/>
  <c r="D77" i="20"/>
  <c r="D78" i="20" l="1"/>
  <c r="D130" i="20" s="1"/>
  <c r="D44" i="18"/>
  <c r="J44" i="18" s="1"/>
  <c r="D37" i="18" l="1"/>
  <c r="F108" i="22" l="1"/>
  <c r="E63" i="21" l="1"/>
  <c r="F25" i="21" l="1"/>
  <c r="F39" i="21"/>
  <c r="F30" i="21"/>
  <c r="F24" i="21"/>
  <c r="F34" i="21"/>
  <c r="F27" i="21"/>
  <c r="E7" i="20"/>
  <c r="D5" i="20" l="1"/>
  <c r="J63" i="21" l="1"/>
  <c r="J72" i="21"/>
  <c r="J71" i="21"/>
  <c r="J70" i="21"/>
  <c r="C89" i="22"/>
  <c r="K25" i="21" l="1"/>
  <c r="K39" i="21"/>
  <c r="P25" i="21"/>
  <c r="K30" i="21"/>
  <c r="D63" i="20" s="1"/>
  <c r="K24" i="21"/>
  <c r="K17" i="21"/>
  <c r="K27" i="21"/>
  <c r="D14" i="20" s="1"/>
  <c r="K21" i="21"/>
  <c r="K49" i="21"/>
  <c r="J73" i="21"/>
  <c r="K70" i="21" s="1"/>
  <c r="K32" i="21"/>
  <c r="K33" i="21"/>
  <c r="K46" i="21"/>
  <c r="K31" i="21"/>
  <c r="K56" i="21"/>
  <c r="K23" i="21"/>
  <c r="K52" i="21"/>
  <c r="K57" i="21"/>
  <c r="K44" i="21"/>
  <c r="K60" i="21"/>
  <c r="K26" i="21"/>
  <c r="K58" i="21"/>
  <c r="K15" i="21"/>
  <c r="K45" i="21"/>
  <c r="K62" i="21"/>
  <c r="K40" i="21"/>
  <c r="K43" i="21"/>
  <c r="K41" i="21"/>
  <c r="K54" i="21"/>
  <c r="K50" i="21"/>
  <c r="K51" i="21"/>
  <c r="K10" i="21"/>
  <c r="K53" i="21"/>
  <c r="K18" i="21"/>
  <c r="K11" i="21"/>
  <c r="K55" i="21"/>
  <c r="K59" i="21"/>
  <c r="K61" i="21"/>
  <c r="K47" i="21"/>
  <c r="K13" i="21"/>
  <c r="K34" i="21"/>
  <c r="K48" i="21"/>
  <c r="K36" i="21"/>
  <c r="K42" i="21"/>
  <c r="K28" i="21"/>
  <c r="K19" i="21"/>
  <c r="K12" i="21"/>
  <c r="K35" i="21"/>
  <c r="K14" i="21"/>
  <c r="K16" i="21"/>
  <c r="K38" i="21"/>
  <c r="K29" i="21"/>
  <c r="K20" i="21"/>
  <c r="K37" i="21"/>
  <c r="K22" i="21"/>
  <c r="K9" i="21"/>
  <c r="P39" i="21" l="1"/>
  <c r="P30" i="21"/>
  <c r="P24" i="21"/>
  <c r="I14" i="20"/>
  <c r="K71" i="21"/>
  <c r="N22" i="21" s="1"/>
  <c r="G39" i="20" s="1"/>
  <c r="K72" i="21"/>
  <c r="N54" i="21" s="1"/>
  <c r="G28" i="20" s="1"/>
  <c r="P27" i="21"/>
  <c r="N31" i="21"/>
  <c r="N28" i="19"/>
  <c r="K73" i="21" l="1"/>
  <c r="N63" i="21"/>
  <c r="G20" i="20"/>
  <c r="G68" i="20" s="1"/>
  <c r="C86" i="22"/>
  <c r="M28" i="19"/>
  <c r="O8" i="19"/>
  <c r="C20" i="22"/>
  <c r="C28" i="22" s="1"/>
  <c r="C29" i="22"/>
  <c r="C38" i="22"/>
  <c r="C39" i="22"/>
  <c r="C44" i="22"/>
  <c r="C75" i="22"/>
  <c r="X63" i="21"/>
  <c r="W63" i="21"/>
  <c r="U63" i="21"/>
  <c r="T63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63" i="21"/>
  <c r="H25" i="21" l="1"/>
  <c r="H39" i="21"/>
  <c r="H30" i="21"/>
  <c r="H24" i="21"/>
  <c r="H34" i="21"/>
  <c r="H27" i="21"/>
  <c r="D62" i="20"/>
  <c r="H10" i="21"/>
  <c r="H14" i="21"/>
  <c r="H18" i="21"/>
  <c r="H22" i="21"/>
  <c r="H28" i="21"/>
  <c r="H33" i="21"/>
  <c r="H38" i="21"/>
  <c r="H43" i="21"/>
  <c r="H47" i="21"/>
  <c r="H51" i="21"/>
  <c r="H55" i="21"/>
  <c r="H59" i="21"/>
  <c r="H9" i="21"/>
  <c r="H15" i="21"/>
  <c r="H29" i="21"/>
  <c r="H40" i="21"/>
  <c r="H52" i="21"/>
  <c r="H60" i="21"/>
  <c r="H16" i="21"/>
  <c r="H31" i="21"/>
  <c r="H41" i="21"/>
  <c r="H49" i="21"/>
  <c r="H57" i="21"/>
  <c r="H13" i="21"/>
  <c r="H17" i="21"/>
  <c r="H21" i="21"/>
  <c r="H26" i="21"/>
  <c r="H32" i="21"/>
  <c r="H37" i="21"/>
  <c r="H42" i="21"/>
  <c r="H46" i="21"/>
  <c r="H50" i="21"/>
  <c r="H54" i="21"/>
  <c r="H58" i="21"/>
  <c r="H62" i="21"/>
  <c r="H11" i="21"/>
  <c r="H19" i="21"/>
  <c r="H23" i="21"/>
  <c r="H35" i="21"/>
  <c r="H44" i="21"/>
  <c r="H48" i="21"/>
  <c r="H56" i="21"/>
  <c r="H12" i="21"/>
  <c r="H20" i="21"/>
  <c r="H36" i="21"/>
  <c r="H45" i="21"/>
  <c r="H53" i="21"/>
  <c r="H61" i="21"/>
  <c r="F12" i="21"/>
  <c r="F16" i="21"/>
  <c r="F20" i="21"/>
  <c r="F31" i="21"/>
  <c r="F36" i="21"/>
  <c r="F41" i="21"/>
  <c r="F45" i="21"/>
  <c r="F49" i="21"/>
  <c r="F53" i="21"/>
  <c r="F57" i="21"/>
  <c r="F61" i="21"/>
  <c r="F15" i="21"/>
  <c r="F29" i="21"/>
  <c r="F44" i="21"/>
  <c r="F56" i="21"/>
  <c r="F13" i="21"/>
  <c r="F17" i="21"/>
  <c r="F21" i="21"/>
  <c r="F26" i="21"/>
  <c r="F32" i="21"/>
  <c r="F37" i="21"/>
  <c r="F42" i="21"/>
  <c r="F46" i="21"/>
  <c r="F50" i="21"/>
  <c r="F54" i="21"/>
  <c r="F58" i="21"/>
  <c r="F62" i="21"/>
  <c r="F19" i="21"/>
  <c r="F35" i="21"/>
  <c r="F48" i="21"/>
  <c r="F60" i="21"/>
  <c r="F10" i="21"/>
  <c r="F14" i="21"/>
  <c r="F18" i="21"/>
  <c r="F22" i="21"/>
  <c r="F28" i="21"/>
  <c r="F33" i="21"/>
  <c r="F38" i="21"/>
  <c r="F43" i="21"/>
  <c r="F47" i="21"/>
  <c r="F51" i="21"/>
  <c r="F55" i="21"/>
  <c r="F59" i="21"/>
  <c r="F9" i="21"/>
  <c r="F11" i="21"/>
  <c r="F23" i="21"/>
  <c r="F40" i="21"/>
  <c r="F52" i="21"/>
  <c r="D38" i="20"/>
  <c r="I38" i="20" s="1"/>
  <c r="D30" i="20"/>
  <c r="I30" i="20" s="1"/>
  <c r="D61" i="20"/>
  <c r="D32" i="20"/>
  <c r="I32" i="20" s="1"/>
  <c r="D40" i="20"/>
  <c r="I40" i="20" s="1"/>
  <c r="D57" i="20"/>
  <c r="I57" i="20" s="1"/>
  <c r="D23" i="20"/>
  <c r="I23" i="20" s="1"/>
  <c r="D33" i="20"/>
  <c r="I33" i="20" s="1"/>
  <c r="D11" i="20"/>
  <c r="D36" i="20"/>
  <c r="I36" i="20" s="1"/>
  <c r="D25" i="20"/>
  <c r="I25" i="20" s="1"/>
  <c r="D15" i="20"/>
  <c r="I15" i="20" s="1"/>
  <c r="D60" i="20"/>
  <c r="I60" i="20" s="1"/>
  <c r="D18" i="20"/>
  <c r="I18" i="20" s="1"/>
  <c r="D48" i="20"/>
  <c r="I48" i="20" s="1"/>
  <c r="D50" i="20"/>
  <c r="I50" i="20" s="1"/>
  <c r="D53" i="20"/>
  <c r="I53" i="20" s="1"/>
  <c r="D46" i="20"/>
  <c r="I46" i="20" s="1"/>
  <c r="D52" i="20"/>
  <c r="I52" i="20" s="1"/>
  <c r="D24" i="20"/>
  <c r="I24" i="20" s="1"/>
  <c r="D42" i="20"/>
  <c r="I42" i="20" s="1"/>
  <c r="D56" i="20"/>
  <c r="I56" i="20" s="1"/>
  <c r="D34" i="20"/>
  <c r="I34" i="20" s="1"/>
  <c r="D21" i="20"/>
  <c r="I21" i="20" s="1"/>
  <c r="D29" i="20"/>
  <c r="I29" i="20" s="1"/>
  <c r="D19" i="20"/>
  <c r="I19" i="20" s="1"/>
  <c r="D54" i="20"/>
  <c r="I54" i="20" s="1"/>
  <c r="D49" i="20"/>
  <c r="I49" i="20" s="1"/>
  <c r="D51" i="20"/>
  <c r="I51" i="20" s="1"/>
  <c r="D22" i="20"/>
  <c r="I22" i="20" s="1"/>
  <c r="D39" i="20"/>
  <c r="I39" i="20" s="1"/>
  <c r="D59" i="20"/>
  <c r="I59" i="20" s="1"/>
  <c r="D44" i="20"/>
  <c r="I44" i="20" s="1"/>
  <c r="D13" i="20"/>
  <c r="I13" i="20" s="1"/>
  <c r="D12" i="20"/>
  <c r="I12" i="20" s="1"/>
  <c r="D16" i="20"/>
  <c r="I16" i="20" s="1"/>
  <c r="D27" i="20"/>
  <c r="I27" i="20" s="1"/>
  <c r="D17" i="20"/>
  <c r="I17" i="20" s="1"/>
  <c r="D28" i="20"/>
  <c r="I28" i="20" s="1"/>
  <c r="D35" i="20"/>
  <c r="I35" i="20" s="1"/>
  <c r="D31" i="20"/>
  <c r="I31" i="20" s="1"/>
  <c r="D55" i="20"/>
  <c r="I55" i="20" s="1"/>
  <c r="D45" i="20"/>
  <c r="I45" i="20" s="1"/>
  <c r="D41" i="20"/>
  <c r="I41" i="20" s="1"/>
  <c r="D58" i="20"/>
  <c r="I58" i="20" s="1"/>
  <c r="D20" i="20"/>
  <c r="I20" i="20" s="1"/>
  <c r="D37" i="20"/>
  <c r="I37" i="20" s="1"/>
  <c r="D47" i="20"/>
  <c r="I47" i="20" s="1"/>
  <c r="D43" i="20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G5" i="21"/>
  <c r="I26" i="20"/>
  <c r="C25" i="19"/>
  <c r="J9" i="20"/>
  <c r="J64" i="20" s="1"/>
  <c r="E28" i="22"/>
  <c r="C43" i="22"/>
  <c r="L25" i="21" l="1"/>
  <c r="M25" i="21" s="1"/>
  <c r="O25" i="21" s="1"/>
  <c r="R25" i="21" s="1"/>
  <c r="L39" i="21"/>
  <c r="M39" i="21" s="1"/>
  <c r="O39" i="21" s="1"/>
  <c r="Q39" i="21" s="1"/>
  <c r="L27" i="21"/>
  <c r="F14" i="20" s="1"/>
  <c r="L24" i="21"/>
  <c r="M24" i="21" s="1"/>
  <c r="O24" i="21" s="1"/>
  <c r="J62" i="20"/>
  <c r="J63" i="20"/>
  <c r="J14" i="20"/>
  <c r="L30" i="21"/>
  <c r="M30" i="21" s="1"/>
  <c r="O30" i="21" s="1"/>
  <c r="R30" i="21" s="1"/>
  <c r="L9" i="21"/>
  <c r="M9" i="21" s="1"/>
  <c r="L33" i="21"/>
  <c r="M33" i="21" s="1"/>
  <c r="L61" i="21"/>
  <c r="M61" i="21" s="1"/>
  <c r="L32" i="21"/>
  <c r="M32" i="21" s="1"/>
  <c r="L14" i="21"/>
  <c r="M14" i="21" s="1"/>
  <c r="L51" i="21"/>
  <c r="M51" i="21" s="1"/>
  <c r="L40" i="21"/>
  <c r="M40" i="21" s="1"/>
  <c r="L35" i="21"/>
  <c r="M35" i="21" s="1"/>
  <c r="L34" i="21"/>
  <c r="M34" i="21" s="1"/>
  <c r="O34" i="21" s="1"/>
  <c r="L18" i="21"/>
  <c r="M18" i="21" s="1"/>
  <c r="L55" i="21"/>
  <c r="M55" i="21" s="1"/>
  <c r="L20" i="21"/>
  <c r="M20" i="21" s="1"/>
  <c r="L13" i="21"/>
  <c r="M13" i="21" s="1"/>
  <c r="L54" i="21"/>
  <c r="M54" i="21" s="1"/>
  <c r="L60" i="21"/>
  <c r="M60" i="21" s="1"/>
  <c r="L26" i="21"/>
  <c r="M26" i="21" s="1"/>
  <c r="L38" i="21"/>
  <c r="M38" i="21" s="1"/>
  <c r="L50" i="21"/>
  <c r="M50" i="21" s="1"/>
  <c r="L21" i="21"/>
  <c r="M21" i="21" s="1"/>
  <c r="L19" i="21"/>
  <c r="M19" i="21" s="1"/>
  <c r="L37" i="21"/>
  <c r="M37" i="21" s="1"/>
  <c r="L31" i="21"/>
  <c r="M31" i="21" s="1"/>
  <c r="L17" i="21"/>
  <c r="M17" i="21" s="1"/>
  <c r="L12" i="21"/>
  <c r="M12" i="21" s="1"/>
  <c r="L15" i="21"/>
  <c r="M15" i="21" s="1"/>
  <c r="L36" i="21"/>
  <c r="M36" i="21" s="1"/>
  <c r="L62" i="21"/>
  <c r="M62" i="21" s="1"/>
  <c r="L42" i="21"/>
  <c r="M42" i="21" s="1"/>
  <c r="L59" i="21"/>
  <c r="M59" i="21" s="1"/>
  <c r="L45" i="21"/>
  <c r="M45" i="21" s="1"/>
  <c r="L57" i="21"/>
  <c r="M57" i="21" s="1"/>
  <c r="L43" i="21"/>
  <c r="M43" i="21" s="1"/>
  <c r="L10" i="21"/>
  <c r="M10" i="21" s="1"/>
  <c r="L48" i="21"/>
  <c r="M48" i="21" s="1"/>
  <c r="L58" i="21"/>
  <c r="M58" i="21" s="1"/>
  <c r="L47" i="21"/>
  <c r="M47" i="21" s="1"/>
  <c r="L16" i="21"/>
  <c r="M16" i="21" s="1"/>
  <c r="L11" i="21"/>
  <c r="M11" i="21" s="1"/>
  <c r="L52" i="21"/>
  <c r="M52" i="21" s="1"/>
  <c r="L22" i="21"/>
  <c r="M22" i="21" s="1"/>
  <c r="L56" i="21"/>
  <c r="M56" i="21" s="1"/>
  <c r="L41" i="21"/>
  <c r="M41" i="21" s="1"/>
  <c r="L44" i="21"/>
  <c r="M44" i="21" s="1"/>
  <c r="L28" i="21"/>
  <c r="M28" i="21" s="1"/>
  <c r="L46" i="21"/>
  <c r="M46" i="21" s="1"/>
  <c r="L49" i="21"/>
  <c r="M49" i="21" s="1"/>
  <c r="L23" i="21"/>
  <c r="M23" i="21" s="1"/>
  <c r="L53" i="21"/>
  <c r="M53" i="21" s="1"/>
  <c r="L29" i="21"/>
  <c r="M29" i="21" s="1"/>
  <c r="P34" i="21"/>
  <c r="P57" i="21"/>
  <c r="P10" i="21"/>
  <c r="J58" i="20"/>
  <c r="P9" i="21"/>
  <c r="P16" i="21"/>
  <c r="F63" i="21"/>
  <c r="P52" i="21"/>
  <c r="P56" i="21"/>
  <c r="P59" i="21"/>
  <c r="P17" i="21"/>
  <c r="P38" i="21"/>
  <c r="P33" i="21"/>
  <c r="P60" i="21"/>
  <c r="P55" i="21"/>
  <c r="P58" i="21"/>
  <c r="P42" i="21"/>
  <c r="P51" i="21"/>
  <c r="P36" i="21"/>
  <c r="P61" i="21"/>
  <c r="P23" i="21"/>
  <c r="P12" i="21"/>
  <c r="P15" i="21"/>
  <c r="P47" i="21"/>
  <c r="P11" i="21"/>
  <c r="P50" i="21"/>
  <c r="P26" i="21"/>
  <c r="P32" i="21"/>
  <c r="P21" i="21"/>
  <c r="P31" i="21"/>
  <c r="P44" i="21"/>
  <c r="P41" i="21"/>
  <c r="P37" i="21"/>
  <c r="P62" i="21"/>
  <c r="P53" i="21"/>
  <c r="P13" i="21"/>
  <c r="P43" i="21"/>
  <c r="P20" i="21"/>
  <c r="P19" i="21"/>
  <c r="P22" i="21"/>
  <c r="P45" i="21"/>
  <c r="P54" i="21"/>
  <c r="P46" i="21"/>
  <c r="P49" i="21"/>
  <c r="P48" i="21"/>
  <c r="P14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D6" i="20"/>
  <c r="H63" i="21"/>
  <c r="P40" i="21"/>
  <c r="P18" i="21"/>
  <c r="P35" i="21"/>
  <c r="P29" i="21"/>
  <c r="P28" i="21"/>
  <c r="K63" i="21"/>
  <c r="J19" i="20"/>
  <c r="J15" i="20"/>
  <c r="J17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E64" i="20" l="1"/>
  <c r="F64" i="20" s="1"/>
  <c r="H64" i="20" s="1"/>
  <c r="K64" i="20" s="1"/>
  <c r="E65" i="20"/>
  <c r="O27" i="21"/>
  <c r="R27" i="21" s="1"/>
  <c r="Q24" i="21"/>
  <c r="R24" i="21"/>
  <c r="Q25" i="21"/>
  <c r="R34" i="21"/>
  <c r="Q34" i="21"/>
  <c r="K9" i="20"/>
  <c r="E14" i="20"/>
  <c r="E13" i="20"/>
  <c r="F13" i="20" s="1"/>
  <c r="E63" i="20"/>
  <c r="E19" i="20"/>
  <c r="F19" i="20" s="1"/>
  <c r="E62" i="20"/>
  <c r="O46" i="21"/>
  <c r="O49" i="21"/>
  <c r="R49" i="21" s="1"/>
  <c r="O48" i="21"/>
  <c r="O58" i="21"/>
  <c r="R58" i="21" s="1"/>
  <c r="O9" i="21"/>
  <c r="O23" i="21"/>
  <c r="R23" i="21" s="1"/>
  <c r="O28" i="21"/>
  <c r="O33" i="21"/>
  <c r="R33" i="21" s="1"/>
  <c r="O59" i="21"/>
  <c r="O43" i="21"/>
  <c r="Q43" i="21" s="1"/>
  <c r="O14" i="21"/>
  <c r="O42" i="21"/>
  <c r="R42" i="21" s="1"/>
  <c r="O56" i="21"/>
  <c r="O10" i="21"/>
  <c r="Q10" i="21" s="1"/>
  <c r="O62" i="21"/>
  <c r="O40" i="21"/>
  <c r="O29" i="21"/>
  <c r="O31" i="21"/>
  <c r="Q31" i="21" s="1"/>
  <c r="O16" i="21"/>
  <c r="O37" i="21"/>
  <c r="R37" i="21" s="1"/>
  <c r="O53" i="21"/>
  <c r="O12" i="21"/>
  <c r="R12" i="21" s="1"/>
  <c r="O36" i="21"/>
  <c r="O55" i="21"/>
  <c r="O61" i="21"/>
  <c r="O15" i="21"/>
  <c r="R15" i="21" s="1"/>
  <c r="O11" i="21"/>
  <c r="O41" i="21"/>
  <c r="O17" i="21"/>
  <c r="Q17" i="21" s="1"/>
  <c r="O26" i="21"/>
  <c r="O57" i="21"/>
  <c r="R57" i="21" s="1"/>
  <c r="O51" i="21"/>
  <c r="O22" i="21"/>
  <c r="O54" i="21"/>
  <c r="O19" i="21"/>
  <c r="O45" i="21"/>
  <c r="O21" i="21"/>
  <c r="Q21" i="21" s="1"/>
  <c r="O38" i="21"/>
  <c r="O18" i="21"/>
  <c r="O44" i="21"/>
  <c r="O50" i="21"/>
  <c r="Q50" i="21" s="1"/>
  <c r="O13" i="21"/>
  <c r="O20" i="21"/>
  <c r="O32" i="21"/>
  <c r="O35" i="21"/>
  <c r="R35" i="21" s="1"/>
  <c r="O60" i="21"/>
  <c r="O52" i="21"/>
  <c r="Q52" i="21" s="1"/>
  <c r="O47" i="21"/>
  <c r="E23" i="20"/>
  <c r="F23" i="20" s="1"/>
  <c r="E25" i="20"/>
  <c r="F25" i="20" s="1"/>
  <c r="E50" i="20"/>
  <c r="F50" i="20" s="1"/>
  <c r="E60" i="20"/>
  <c r="F60" i="20" s="1"/>
  <c r="E22" i="20"/>
  <c r="F22" i="20" s="1"/>
  <c r="L63" i="21"/>
  <c r="E51" i="20"/>
  <c r="F51" i="20" s="1"/>
  <c r="E56" i="20"/>
  <c r="F56" i="20" s="1"/>
  <c r="E43" i="20"/>
  <c r="F43" i="20" s="1"/>
  <c r="E38" i="20"/>
  <c r="F38" i="20" s="1"/>
  <c r="E11" i="20"/>
  <c r="F11" i="20" s="1"/>
  <c r="E37" i="20"/>
  <c r="F37" i="20" s="1"/>
  <c r="E44" i="20"/>
  <c r="F44" i="20" s="1"/>
  <c r="P63" i="21"/>
  <c r="E33" i="20"/>
  <c r="F33" i="20" s="1"/>
  <c r="E57" i="20"/>
  <c r="F57" i="20" s="1"/>
  <c r="E45" i="20"/>
  <c r="F45" i="20" s="1"/>
  <c r="E26" i="20"/>
  <c r="F26" i="20" s="1"/>
  <c r="E42" i="20"/>
  <c r="F42" i="20" s="1"/>
  <c r="E21" i="20"/>
  <c r="F21" i="20" s="1"/>
  <c r="E52" i="20"/>
  <c r="F52" i="20" s="1"/>
  <c r="E39" i="20"/>
  <c r="F39" i="20" s="1"/>
  <c r="E46" i="20"/>
  <c r="F46" i="20" s="1"/>
  <c r="E17" i="20"/>
  <c r="F17" i="20" s="1"/>
  <c r="E58" i="20"/>
  <c r="F58" i="20" s="1"/>
  <c r="E16" i="20"/>
  <c r="F16" i="20" s="1"/>
  <c r="E32" i="20"/>
  <c r="F32" i="20" s="1"/>
  <c r="E15" i="20"/>
  <c r="F15" i="20" s="1"/>
  <c r="E24" i="20"/>
  <c r="F24" i="20" s="1"/>
  <c r="E31" i="20"/>
  <c r="F31" i="20" s="1"/>
  <c r="E30" i="20"/>
  <c r="F30" i="20" s="1"/>
  <c r="E54" i="20"/>
  <c r="F54" i="20" s="1"/>
  <c r="E53" i="20"/>
  <c r="F53" i="20" s="1"/>
  <c r="E35" i="20"/>
  <c r="F35" i="20" s="1"/>
  <c r="E27" i="20"/>
  <c r="F27" i="20" s="1"/>
  <c r="E40" i="20"/>
  <c r="F40" i="20" s="1"/>
  <c r="E29" i="20"/>
  <c r="F29" i="20" s="1"/>
  <c r="E48" i="20"/>
  <c r="F48" i="20" s="1"/>
  <c r="E47" i="20"/>
  <c r="F47" i="20" s="1"/>
  <c r="E41" i="20"/>
  <c r="F41" i="20" s="1"/>
  <c r="E12" i="20"/>
  <c r="F12" i="20" s="1"/>
  <c r="E34" i="20"/>
  <c r="F34" i="20" s="1"/>
  <c r="E59" i="20"/>
  <c r="F59" i="20" s="1"/>
  <c r="E18" i="20"/>
  <c r="F18" i="20" s="1"/>
  <c r="E55" i="20"/>
  <c r="F55" i="20" s="1"/>
  <c r="E61" i="20"/>
  <c r="F61" i="20" s="1"/>
  <c r="E36" i="20"/>
  <c r="F36" i="20" s="1"/>
  <c r="E49" i="20"/>
  <c r="F49" i="20" s="1"/>
  <c r="E20" i="20"/>
  <c r="F20" i="20" s="1"/>
  <c r="E28" i="20"/>
  <c r="F28" i="20" s="1"/>
  <c r="I11" i="20"/>
  <c r="I68" i="20" s="1"/>
  <c r="D68" i="20"/>
  <c r="J68" i="20"/>
  <c r="C60" i="22"/>
  <c r="E60" i="22" s="1"/>
  <c r="C69" i="22" s="1"/>
  <c r="E69" i="22" s="1"/>
  <c r="C76" i="22" s="1"/>
  <c r="E54" i="22"/>
  <c r="H65" i="20" l="1"/>
  <c r="K65" i="20" s="1"/>
  <c r="F65" i="20"/>
  <c r="F63" i="20"/>
  <c r="H63" i="20" s="1"/>
  <c r="K63" i="20" s="1"/>
  <c r="H14" i="20"/>
  <c r="K14" i="20" s="1"/>
  <c r="H19" i="20"/>
  <c r="K19" i="20" s="1"/>
  <c r="F62" i="20"/>
  <c r="H62" i="20" s="1"/>
  <c r="K62" i="20" s="1"/>
  <c r="Q22" i="21"/>
  <c r="R22" i="21"/>
  <c r="R48" i="21"/>
  <c r="Q48" i="21"/>
  <c r="Q28" i="21"/>
  <c r="R28" i="21"/>
  <c r="R9" i="21"/>
  <c r="Q9" i="21"/>
  <c r="R14" i="21"/>
  <c r="Q14" i="21"/>
  <c r="R59" i="21"/>
  <c r="Q59" i="21"/>
  <c r="R46" i="21"/>
  <c r="Q46" i="21"/>
  <c r="H28" i="20"/>
  <c r="H61" i="20"/>
  <c r="H34" i="20"/>
  <c r="H48" i="20"/>
  <c r="H27" i="20"/>
  <c r="H30" i="20"/>
  <c r="H32" i="20"/>
  <c r="H46" i="20"/>
  <c r="H21" i="20"/>
  <c r="H57" i="20"/>
  <c r="H37" i="20"/>
  <c r="H56" i="20"/>
  <c r="H60" i="20"/>
  <c r="H23" i="20"/>
  <c r="H20" i="20"/>
  <c r="H55" i="20"/>
  <c r="H12" i="20"/>
  <c r="H29" i="20"/>
  <c r="H35" i="20"/>
  <c r="H31" i="20"/>
  <c r="H16" i="20"/>
  <c r="H39" i="20"/>
  <c r="H42" i="20"/>
  <c r="H33" i="20"/>
  <c r="H11" i="20"/>
  <c r="H51" i="20"/>
  <c r="H50" i="20"/>
  <c r="H49" i="20"/>
  <c r="H18" i="20"/>
  <c r="H41" i="20"/>
  <c r="H13" i="20"/>
  <c r="H53" i="20"/>
  <c r="H24" i="20"/>
  <c r="H58" i="20"/>
  <c r="H26" i="20"/>
  <c r="K26" i="20" s="1"/>
  <c r="H38" i="20"/>
  <c r="H36" i="20"/>
  <c r="H59" i="20"/>
  <c r="H47" i="20"/>
  <c r="H40" i="20"/>
  <c r="H54" i="20"/>
  <c r="H15" i="20"/>
  <c r="H17" i="20"/>
  <c r="H52" i="20"/>
  <c r="H45" i="20"/>
  <c r="H44" i="20"/>
  <c r="H43" i="20"/>
  <c r="H22" i="20"/>
  <c r="H25" i="20"/>
  <c r="Q23" i="21"/>
  <c r="R40" i="21"/>
  <c r="Q40" i="21"/>
  <c r="Q11" i="21"/>
  <c r="R11" i="21"/>
  <c r="R18" i="21"/>
  <c r="Q18" i="21"/>
  <c r="R55" i="21"/>
  <c r="Q55" i="21"/>
  <c r="Q20" i="21"/>
  <c r="R20" i="21"/>
  <c r="Q62" i="21"/>
  <c r="R62" i="21"/>
  <c r="Q19" i="21"/>
  <c r="R19" i="21"/>
  <c r="M63" i="21"/>
  <c r="G6" i="21" s="1"/>
  <c r="R17" i="21"/>
  <c r="Q49" i="21"/>
  <c r="Q42" i="21"/>
  <c r="Q47" i="21"/>
  <c r="R47" i="21"/>
  <c r="R61" i="21"/>
  <c r="Q61" i="21"/>
  <c r="Q54" i="21"/>
  <c r="R54" i="21"/>
  <c r="R16" i="21"/>
  <c r="Q16" i="21"/>
  <c r="O63" i="21"/>
  <c r="R63" i="21" s="1"/>
  <c r="Q44" i="21"/>
  <c r="R44" i="21"/>
  <c r="Q13" i="21"/>
  <c r="R13" i="21"/>
  <c r="R32" i="21"/>
  <c r="Q32" i="21"/>
  <c r="R45" i="21"/>
  <c r="Q45" i="21"/>
  <c r="R41" i="21"/>
  <c r="Q41" i="21"/>
  <c r="R53" i="21"/>
  <c r="Q53" i="21"/>
  <c r="Q51" i="21"/>
  <c r="R51" i="21"/>
  <c r="R29" i="21"/>
  <c r="Q29" i="21"/>
  <c r="R60" i="21"/>
  <c r="Q60" i="21"/>
  <c r="R38" i="21"/>
  <c r="Q38" i="21"/>
  <c r="R26" i="21"/>
  <c r="Q26" i="21"/>
  <c r="R36" i="21"/>
  <c r="Q36" i="21"/>
  <c r="Q56" i="21"/>
  <c r="R56" i="21"/>
  <c r="R52" i="21"/>
  <c r="Q58" i="21"/>
  <c r="Q15" i="21"/>
  <c r="Q57" i="21"/>
  <c r="R50" i="21"/>
  <c r="Q12" i="21"/>
  <c r="Q33" i="21"/>
  <c r="R43" i="21"/>
  <c r="Q37" i="21"/>
  <c r="R21" i="21"/>
  <c r="R31" i="21"/>
  <c r="Q35" i="21"/>
  <c r="R10" i="21"/>
  <c r="E68" i="20"/>
  <c r="C82" i="22"/>
  <c r="E76" i="22"/>
  <c r="F68" i="20" l="1"/>
  <c r="H66" i="20"/>
  <c r="H68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Q63" i="21"/>
  <c r="E82" i="22"/>
  <c r="K68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E126" i="22" l="1"/>
  <c r="C133" i="22"/>
  <c r="C140" i="22" l="1"/>
  <c r="E133" i="22"/>
  <c r="E140" i="22" l="1"/>
  <c r="C147" i="22"/>
  <c r="D48" i="18" s="1"/>
  <c r="F48" i="18" l="1"/>
  <c r="C154" i="22"/>
  <c r="C161" i="22" s="1"/>
  <c r="E161" i="22" s="1"/>
  <c r="E147" i="22"/>
  <c r="E154" i="22" l="1"/>
  <c r="H4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D19" authorId="0" shapeId="0" xr:uid="{5D977F48-0EAA-46E8-82C1-60CDAFE663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H19" authorId="0" shapeId="0" xr:uid="{C12AB360-EB30-459B-BFE1-DA05CAB9A029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H33" authorId="0" shapeId="0" xr:uid="{C91329B5-E79C-477D-B776-7BF6BA8CAF33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2024: Based on approved WPLC 2024 budget (6-12-2023)
Buying pool share: $134,866
Magazines share:
$7,782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  <comment ref="C130" authorId="0" shapeId="0" xr:uid="{FC5AFCED-E436-41DC-8181-9EFE01380A95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$13,500 Fairchild
$27,000 Durand
-  1,000 Est Fairchild 1/2 Year Maint (re start 7/1)</t>
        </r>
      </text>
    </comment>
    <comment ref="C137" authorId="1" shapeId="0" xr:uid="{76790D22-C27C-48CC-AD30-687CF6458F02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Cornell Startup (less 1/2 year maintenance)</t>
        </r>
      </text>
    </comment>
    <comment ref="C138" authorId="1" shapeId="0" xr:uid="{DB2EA43D-6261-4018-95CD-81DE344B3109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[underspent from 2022]</t>
        </r>
      </text>
    </comment>
    <comment ref="C144" authorId="1" shapeId="0" xr:uid="{45964747-06E5-48D6-B7CC-757571B36F5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Cornell start date: 7-1-2023
Cornell not included in 2023 MORE budget (2023 costs absorbed by MORE)
Half of 2024 costs to be included from startup, other half billed to library. Estimated half = $3,223
$18,000 startup - $3,223 1/2 year maintenance = $14,777
</t>
        </r>
      </text>
    </comment>
    <comment ref="C151" authorId="1" shapeId="0" xr:uid="{69EC2F78-9216-49F9-A5DC-68E9DD2B2D7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Hawkins start date: 7-1-2024
Hawkins not included in 2024 MORE budget (2024 costs absorbed by MORE)
Half of 2025 costs to be included from startup, other half billed to library. Estimated half = $1,218
$18,000 startup - $1,218 1/2 year maintenance = $16,782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9" authorId="0" shapeId="0" xr:uid="{887D44E7-C4A7-464D-BD1D-45DC5862A8E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Switched from Express Lane to SIP2 in Feb. 2022. Paying for 1 license, 2nd SIP2 license was part of 2021 year-end III BOGO deal when adding a license for CF.</t>
        </r>
      </text>
    </comment>
    <comment ref="E84" authorId="0" shapeId="0" xr:uid="{30C10DDB-9B9C-4978-8FE7-869D0004A14C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2025 estimated Collection Agency module cost for automated reporting from Sierra to UMS, to be split among 5 library users: $1867</t>
        </r>
      </text>
    </comment>
    <comment ref="C88" authorId="0" shapeId="0" xr:uid="{0B721590-B566-4688-BEC3-2C7D07774498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CF added a 2nd self-check in November 2021. Charge for maintenance on 2 licenses beginning with 2023 budget</t>
        </r>
      </text>
    </comment>
    <comment ref="E89" authorId="0" shapeId="0" xr:uid="{18E0ABDB-DA9B-448F-B36E-5C09E981B52B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2024 Collection Agency module cost for automated reporting from Sierra to UMS, to be split among 5 library users: $1697</t>
        </r>
      </text>
    </comment>
    <comment ref="C9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switching from 6 to 8 SIP2 licenses beginning 2023
Once license added in 2024, total = 9 (per paula, 12-12-2023)
</t>
        </r>
      </text>
    </comment>
    <comment ref="E92" authorId="0" shapeId="0" xr:uid="{518352E7-59A3-4B83-AFC3-1FDC3C9E52B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2024 Collection Agency module cost for automated reporting from Sierra to UMS, to be split among 5 library users: $1697</t>
        </r>
      </text>
    </comment>
    <comment ref="E102" authorId="0" shapeId="0" xr:uid="{76D71062-5748-4F72-AFBB-63FC18ACCF89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2024 Collection Agency module cost for automated reporting from Sierra to UMS, to be split among 5 library users: $1697</t>
        </r>
      </text>
    </comment>
    <comment ref="E106" authorId="0" shapeId="0" xr:uid="{BD5D116D-D2F4-4290-B34C-50573269616A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2024 Collection Agency module cost for automated reporting from Sierra to UMS, to be split among 5 library users: $1697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M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  <comment ref="B25" authorId="1" shapeId="0" xr:uid="{C9002B4C-3B09-49DA-9C71-E79986CA75EE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MORE start date: 7-1-2023; to be charged for 1/2 of 2024 MORE costs. See Fairchild and CVTC for prior examples of showing that 1/2 year charge in this document
Used annual report figures for 2020-2022 items + circ</t>
        </r>
      </text>
    </comment>
    <comment ref="B27" authorId="1" shapeId="0" xr:uid="{5590DCE8-8C6C-4F25-9C78-3470CD0F719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"2021" counts are actually May 2020 item counts and 2019 circ.</t>
        </r>
      </text>
    </comment>
    <comment ref="B30" authorId="1" shapeId="0" xr:uid="{B8C1B241-174A-429B-978C-16AF0C14BB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2021 figures from library's annual report</t>
        </r>
      </text>
    </comment>
    <comment ref="B39" authorId="1" shapeId="0" xr:uid="{BE8C8D15-B788-4E6A-A36D-5A0E3F5AD203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MORE start date: 7-1-2024; to be charged for 1/2 of 2025 MORE costs. See Fairchild, CVTC, and Cornell for prior examples of showing that 1/2 year charge in this document
Used annual report figures for 2021-2023 items + circ</t>
        </r>
      </text>
    </comment>
    <comment ref="O39" authorId="1" shapeId="0" xr:uid="{F932A17A-3E93-4585-9237-E88C9FB34B19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Half of full year cost to be billed to library</t>
        </r>
      </text>
    </comment>
  </commentList>
</comments>
</file>

<file path=xl/sharedStrings.xml><?xml version="1.0" encoding="utf-8"?>
<sst xmlns="http://schemas.openxmlformats.org/spreadsheetml/2006/main" count="581" uniqueCount="454">
  <si>
    <t>MORE Shared Automation System</t>
  </si>
  <si>
    <t xml:space="preserve">Line  </t>
  </si>
  <si>
    <t>Revised</t>
  </si>
  <si>
    <t>#</t>
  </si>
  <si>
    <t>Line Item Description</t>
  </si>
  <si>
    <t>Revisions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</si>
  <si>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</si>
  <si>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</si>
  <si>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</si>
  <si>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</si>
  <si>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</si>
  <si>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</si>
  <si>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</si>
  <si>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</si>
  <si>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</si>
  <si>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</si>
  <si>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</si>
  <si>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</si>
  <si>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</si>
  <si>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</si>
  <si>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</si>
  <si>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</si>
  <si>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</si>
  <si>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</si>
  <si>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</si>
  <si>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</si>
  <si>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</si>
  <si>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</si>
  <si>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</si>
  <si>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</si>
  <si>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</si>
  <si>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</si>
  <si>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</si>
  <si>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</si>
  <si>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</si>
  <si>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</si>
  <si>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</si>
  <si>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</si>
  <si>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</si>
  <si>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</si>
  <si>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</si>
  <si>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</si>
  <si>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</si>
  <si>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</si>
  <si>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</si>
  <si>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</si>
  <si>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</si>
  <si>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</si>
  <si>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</si>
  <si>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</si>
  <si>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</si>
  <si>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</si>
  <si>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</si>
  <si>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</si>
  <si>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</si>
  <si>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</si>
  <si>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</si>
  <si>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</si>
  <si>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</si>
  <si>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</si>
  <si>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</si>
  <si>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</si>
  <si>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</si>
  <si>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</si>
  <si>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</si>
  <si>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</si>
  <si>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</si>
  <si>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</si>
  <si>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</si>
  <si>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</si>
  <si>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</si>
  <si>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</si>
  <si>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</si>
  <si>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</si>
  <si>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</si>
  <si>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</si>
  <si>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</si>
  <si>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</si>
  <si>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</si>
  <si>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</si>
  <si>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</si>
  <si>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</si>
  <si>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</si>
  <si>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</si>
  <si>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</si>
  <si>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</si>
  <si>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</si>
  <si>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</si>
  <si>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</si>
  <si>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</si>
  <si>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</si>
  <si>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</si>
  <si>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</si>
  <si>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</si>
  <si>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</si>
  <si>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</si>
  <si>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</si>
  <si>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</si>
  <si>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</si>
  <si>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</si>
  <si>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</si>
  <si>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</si>
  <si>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</si>
  <si>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</si>
  <si>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</si>
  <si>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</si>
  <si>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</si>
  <si>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</si>
  <si>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</si>
  <si>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</si>
  <si>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</si>
  <si>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</si>
  <si>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</si>
  <si>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</si>
  <si>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</si>
  <si>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</si>
  <si>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</si>
  <si>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</si>
  <si>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</si>
  <si>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</si>
  <si>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</si>
  <si>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</si>
  <si>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</si>
  <si>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</si>
  <si>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</si>
  <si>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</si>
  <si>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</si>
  <si>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</si>
  <si>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</si>
  <si>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</si>
  <si>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</si>
  <si>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</si>
  <si>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</si>
  <si>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</si>
  <si>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</si>
  <si>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</si>
  <si>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</si>
  <si>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</si>
  <si>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</si>
  <si>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</si>
  <si>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</si>
  <si>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</si>
  <si>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</si>
  <si>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</si>
  <si>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</si>
  <si>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</si>
  <si>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</si>
  <si>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</si>
  <si>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</si>
  <si>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</si>
  <si>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</si>
  <si>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</si>
  <si>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</si>
  <si>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</si>
  <si>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</si>
  <si>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</si>
  <si>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</si>
  <si>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</si>
  <si>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</si>
  <si>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</si>
  <si>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</si>
  <si>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</si>
  <si>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</si>
  <si>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</si>
  <si>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</si>
  <si>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</si>
  <si>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</si>
  <si>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</si>
  <si>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</si>
  <si>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</si>
  <si>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</si>
  <si>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</si>
  <si>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</si>
  <si>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</si>
  <si>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</si>
  <si>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</si>
  <si>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</si>
  <si>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</si>
  <si>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</si>
  <si>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</si>
  <si>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IFLS Subsidy:</t>
  </si>
  <si>
    <t>Add'l Subsidy per Lib:</t>
  </si>
  <si>
    <t xml:space="preserve"> - Subsidy</t>
  </si>
  <si>
    <t>Bill to Libs</t>
  </si>
  <si>
    <t>Content $</t>
  </si>
  <si>
    <t>Circ &amp; Items as a % of Total</t>
  </si>
  <si>
    <t>LIBRARY</t>
  </si>
  <si>
    <t>items per total</t>
  </si>
  <si>
    <t>circ per total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</si>
  <si>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</si>
  <si>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</si>
  <si>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</si>
  <si>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</si>
  <si>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</si>
  <si>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</si>
  <si>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</si>
  <si>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</si>
  <si>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</si>
  <si>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</si>
  <si>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</si>
  <si>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</si>
  <si>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</si>
  <si>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</si>
  <si>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</si>
  <si>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</si>
  <si>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</si>
  <si>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</si>
  <si>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</si>
  <si>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</si>
  <si>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</si>
  <si>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</si>
  <si>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</si>
  <si>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</si>
  <si>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</si>
  <si>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</si>
  <si>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</si>
  <si>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</si>
  <si>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</si>
  <si>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</si>
  <si>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</si>
  <si>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</si>
  <si>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</si>
  <si>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</si>
  <si>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</si>
  <si>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</si>
  <si>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</si>
  <si>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</si>
  <si>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</si>
  <si>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</si>
  <si>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</si>
  <si>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</si>
  <si>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</si>
  <si>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</si>
  <si>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</si>
  <si>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</si>
  <si>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</si>
  <si>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</si>
  <si>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</si>
  <si>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</si>
  <si>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</si>
  <si>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</si>
  <si>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</si>
  <si>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</si>
  <si>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</si>
  <si>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</si>
  <si>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</si>
  <si>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</si>
  <si>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</si>
  <si>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</si>
  <si>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</si>
  <si>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</si>
  <si>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</si>
  <si>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</si>
  <si>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</si>
  <si>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</si>
  <si>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</si>
  <si>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</si>
  <si>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</si>
  <si>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</si>
  <si>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</si>
  <si>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</si>
  <si>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</si>
  <si>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</si>
  <si>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</si>
  <si>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</si>
  <si>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</si>
  <si>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</si>
  <si>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</si>
  <si>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Possible New Products</t>
  </si>
  <si>
    <t>IFLS Management Charges</t>
  </si>
  <si>
    <t>Seminars, webinars, etc. for IFLS staff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</si>
  <si>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</si>
  <si>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</si>
  <si>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</si>
  <si>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</si>
  <si>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</si>
  <si>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</si>
  <si>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</si>
  <si>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 xml:space="preserve">   Adj to Close Books @ end of 2015</t>
  </si>
  <si>
    <t>IFLS Subsidy per Library</t>
  </si>
  <si>
    <t>Email and text reminder subscription</t>
  </si>
  <si>
    <t>Content Café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</si>
  <si>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</si>
  <si>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</si>
  <si>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</si>
  <si>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</si>
  <si>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</si>
  <si>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</si>
  <si>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</si>
  <si>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</si>
  <si>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</si>
  <si>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</si>
  <si>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</si>
  <si>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OCLC, Web Dewey, and RDA Toolkit</t>
  </si>
  <si>
    <t xml:space="preserve">Eau Claire </t>
  </si>
  <si>
    <t>Carryover @ 12/31/17</t>
  </si>
  <si>
    <t xml:space="preserve">   Less 2018 Add'l from Carryover (revised budget)</t>
  </si>
  <si>
    <t xml:space="preserve">   Reserves - Boopsie deferred to 2018</t>
  </si>
  <si>
    <t>Ongoing authority processing service</t>
  </si>
  <si>
    <t>Electronic magazines</t>
  </si>
  <si>
    <t>Hosting Sierra and Encore servers</t>
  </si>
  <si>
    <t xml:space="preserve">   Less 2020 Add'l from Carryover (revised budget)</t>
  </si>
  <si>
    <t xml:space="preserve">   Adj to Close Books @ end of 2020</t>
  </si>
  <si>
    <t xml:space="preserve">   Libraries with Additional Maintenance re: Special Modules or Self-check @----&gt;</t>
  </si>
  <si>
    <t>Discovery/Online Catalog</t>
  </si>
  <si>
    <t>BiblioApps library app from Bibliocommons</t>
  </si>
  <si>
    <t>MORE Funds</t>
  </si>
  <si>
    <t>Including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</si>
  <si>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</si>
  <si>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</si>
  <si>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</si>
  <si>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</si>
  <si>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</si>
  <si>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 xml:space="preserve">   Less 2021 Add'l from Carryover (revised budget)</t>
  </si>
  <si>
    <t xml:space="preserve">   Adj to Close Books @ end of 2021</t>
  </si>
  <si>
    <t xml:space="preserve">   Adj to Close Books @ end of 2019</t>
  </si>
  <si>
    <t xml:space="preserve">   Less 2019 Add'l from Carryover (revised budget)</t>
  </si>
  <si>
    <t xml:space="preserve">   Less $ Committed to 2022 Projects from Carryover</t>
  </si>
  <si>
    <t xml:space="preserve">   Less $ Committed to 2021 Projects from Carryover</t>
  </si>
  <si>
    <t xml:space="preserve">   Less $ Committed to 2020 Projects from Carryover</t>
  </si>
  <si>
    <t>Actual Carryover @ 12/31/19</t>
  </si>
  <si>
    <t>Actual Carryover @ 12/31/18</t>
  </si>
  <si>
    <t>New</t>
  </si>
  <si>
    <t>Fairchild</t>
  </si>
  <si>
    <t>% Chg</t>
  </si>
  <si>
    <t>Fairchild  * 7/1/2021</t>
  </si>
  <si>
    <t>3 yr Avg items+circ</t>
  </si>
  <si>
    <t>3 yr Avg % of Total</t>
  </si>
  <si>
    <t xml:space="preserve"> (not to exceed 1/2 of Total costs)</t>
  </si>
  <si>
    <t>iTIVA from illion (formerly Talking Tech)</t>
  </si>
  <si>
    <t>Approved by MORE Directors Council, May 2021</t>
  </si>
  <si>
    <t>Envisionware</t>
  </si>
  <si>
    <t>Express Lane</t>
  </si>
  <si>
    <t>CVTC   (original: 1/1/2000; withdrawal: 1/1/2006) 7/1/2022</t>
  </si>
  <si>
    <t>Durand   * 1/1/2022</t>
  </si>
  <si>
    <t>2021 Total items+circ</t>
  </si>
  <si>
    <t>CVTC</t>
  </si>
  <si>
    <t>Durand</t>
  </si>
  <si>
    <t xml:space="preserve">   Less $ Committed to 2023 Projects from Carryover</t>
  </si>
  <si>
    <t xml:space="preserve">   Adj to Close Books @ end of 2022</t>
  </si>
  <si>
    <t xml:space="preserve">  Plus Fairchild, Durand, CVTC Startup (less 1/2 yr Maint)</t>
  </si>
  <si>
    <t xml:space="preserve">   Less 2022 Add'l from Carryover (revised budget)</t>
  </si>
  <si>
    <t xml:space="preserve">  Plus </t>
  </si>
  <si>
    <t xml:space="preserve">   Less $ Committed to 2019 Projects from Carryover</t>
  </si>
  <si>
    <t xml:space="preserve">   Less 2023 Add'l from Carryover (revised budget)</t>
  </si>
  <si>
    <t xml:space="preserve">   Adj to Close Books @ end of 2023</t>
  </si>
  <si>
    <t>ACTUAL Carryover @ 12/31/20</t>
  </si>
  <si>
    <t>ACTUAL Carryover @ 12/31/2021</t>
  </si>
  <si>
    <t>Est Carryover @ 12/31/2023</t>
  </si>
  <si>
    <t>Total =</t>
  </si>
  <si>
    <t>Reserves  =</t>
  </si>
  <si>
    <t>Envisionware, AMH</t>
  </si>
  <si>
    <t>Collection development/statistical analysis tool</t>
  </si>
  <si>
    <t>Approved</t>
  </si>
  <si>
    <t>2022 Total items+circ</t>
  </si>
  <si>
    <t>Cornell</t>
  </si>
  <si>
    <t>Niche Academy</t>
  </si>
  <si>
    <t>Primarily annual Innovative Users Group Conference</t>
  </si>
  <si>
    <t>adjust re M62</t>
  </si>
  <si>
    <t>ACTUAL Carryover @ 12/31/2022</t>
  </si>
  <si>
    <t>Shared Services</t>
  </si>
  <si>
    <t>Rice Lake</t>
  </si>
  <si>
    <t xml:space="preserve"> </t>
  </si>
  <si>
    <t>IFLS OverDrive Advantage program; 2024 RSCD Recommendation: $60,000</t>
  </si>
  <si>
    <t>Flipster is current product; 2024 RSCD Recommendation: $5,000</t>
  </si>
  <si>
    <t>To purchase high-demand materials in any format; 2024 RSCD Recommendation: $10,000</t>
  </si>
  <si>
    <t>Cornell   * 7/1/2023</t>
  </si>
  <si>
    <t xml:space="preserve">   Less 2024 Add'l from Carryover (revised budget)</t>
  </si>
  <si>
    <t xml:space="preserve">   Adj to Close Books @ end of 2024</t>
  </si>
  <si>
    <t>Est Carryover @ 12/31/2024</t>
  </si>
  <si>
    <t>Library</t>
  </si>
  <si>
    <t>Cost</t>
  </si>
  <si>
    <t>Charge type</t>
  </si>
  <si>
    <t>Description</t>
  </si>
  <si>
    <t>Altoona Total</t>
  </si>
  <si>
    <t>Amery Total</t>
  </si>
  <si>
    <t>Baldwin Total</t>
  </si>
  <si>
    <t>Barron Total</t>
  </si>
  <si>
    <t>Chippewa Total</t>
  </si>
  <si>
    <t>Eau Claire  Total</t>
  </si>
  <si>
    <t>Ellsworth Total</t>
  </si>
  <si>
    <t>Fall Creek Total</t>
  </si>
  <si>
    <t>Frederic Total</t>
  </si>
  <si>
    <t>Hudson Total</t>
  </si>
  <si>
    <t>Menomonie Total</t>
  </si>
  <si>
    <t>New Richmond Total</t>
  </si>
  <si>
    <t>Osceola Total</t>
  </si>
  <si>
    <t>Pepin Total</t>
  </si>
  <si>
    <t>Prescott Total</t>
  </si>
  <si>
    <t>Rice Lake Total</t>
  </si>
  <si>
    <t>River Falls Total</t>
  </si>
  <si>
    <t>Somerset Total</t>
  </si>
  <si>
    <t>Spring Valley Total</t>
  </si>
  <si>
    <t>Stanley Total</t>
  </si>
  <si>
    <t>St Croix Falls Total</t>
  </si>
  <si>
    <t>Grand Total</t>
  </si>
  <si>
    <t>Collection Agency module users</t>
  </si>
  <si>
    <t>Collection Agency module</t>
  </si>
  <si>
    <t>SIP2 License Quantity</t>
  </si>
  <si>
    <t>Balsam Lake Total</t>
  </si>
  <si>
    <t>Ladysmith Total</t>
  </si>
  <si>
    <t xml:space="preserve">  Plus Cornell Startup (less 1/2 yr Maintenance)</t>
  </si>
  <si>
    <t xml:space="preserve">   Less $ Estimated to 2024 Projects from Carryover</t>
  </si>
  <si>
    <t>Express Lane license cancellation request from director, 12-7-2023</t>
  </si>
  <si>
    <t>2025 Preliminary Budget</t>
  </si>
  <si>
    <t xml:space="preserve">2024 Notes  </t>
  </si>
  <si>
    <t>2024 +/-</t>
  </si>
  <si>
    <t>2024 Budget</t>
  </si>
  <si>
    <t>Preliminary</t>
  </si>
  <si>
    <t>Reserve @ '24 = $24,000</t>
  </si>
  <si>
    <t>Reserve @ '24 = $175,000</t>
  </si>
  <si>
    <t>Reserve @ '24 = $25,000</t>
  </si>
  <si>
    <t>2025 MORE Costs to Library Participants</t>
  </si>
  <si>
    <t>Based on 2025 Preliminary budget</t>
  </si>
  <si>
    <t xml:space="preserve">2025 Total MORE Budget = </t>
  </si>
  <si>
    <t xml:space="preserve">Less 2025 IFLS Subsidy (off top) = </t>
  </si>
  <si>
    <t xml:space="preserve">2025 MORE Budget billable to Libs = </t>
  </si>
  <si>
    <t xml:space="preserve">Add'l 2025 IFLS Subsidy = Am't per Lib (Half Min) </t>
  </si>
  <si>
    <t xml:space="preserve">Add'l 2025 IFLS Subsidy for Cataloging Partners =  </t>
  </si>
  <si>
    <t>2025         Total         Cost to Library</t>
  </si>
  <si>
    <t>2025  Contents/ Materials</t>
  </si>
  <si>
    <t>2025     General Maintenance</t>
  </si>
  <si>
    <t>MORE 2025 Cost Allocations using 3 year Average for Items &amp; Circ</t>
  </si>
  <si>
    <t>Preliminary Budget</t>
  </si>
  <si>
    <t xml:space="preserve">  2024 Preliminary Budget:  =</t>
  </si>
  <si>
    <t xml:space="preserve">2025 Preliminary Costs </t>
  </si>
  <si>
    <t xml:space="preserve">2024 Costs </t>
  </si>
  <si>
    <t xml:space="preserve"> 2024 Total</t>
  </si>
  <si>
    <t>2023          items</t>
  </si>
  <si>
    <t>2023            circ</t>
  </si>
  <si>
    <t>2023 Total items+circ</t>
  </si>
  <si>
    <t>2015-   2025</t>
  </si>
  <si>
    <t xml:space="preserve">  10% increase</t>
  </si>
  <si>
    <t>Automation software support; preliminary 2025: estimated 10% increase</t>
  </si>
  <si>
    <t>Statistical and collection development tool: Decision Center; preliminary 2025: estimated 10% increase</t>
  </si>
  <si>
    <t>Cover images for online catalog; preliminary 2025: estimated 10% increase</t>
  </si>
  <si>
    <t>Telephone notification and renewal service, annual fee; preliminary 2025: estimated 10% increase</t>
  </si>
  <si>
    <r>
      <t xml:space="preserve">Online catalog software; </t>
    </r>
    <r>
      <rPr>
        <u val="singleAccounting"/>
        <sz val="11"/>
        <rFont val="Arial"/>
        <family val="2"/>
      </rPr>
      <t>BiblioCore starting 2020; preliminary</t>
    </r>
    <r>
      <rPr>
        <sz val="11"/>
        <rFont val="Arial"/>
        <family val="2"/>
      </rPr>
      <t xml:space="preserve"> 2025 cost reflects year 4 pricing</t>
    </r>
  </si>
  <si>
    <t>Training/tutorials platform; preliminary 2025: estimated 10% increase and continued cost sharing with IFLS</t>
  </si>
  <si>
    <t>Includes some IFLS personnel, CABS (Cataloging and Bibliographic Services): centralized bibliographic services, committee meetings, training travel/meetings, and telephone expenses; preliminary 2025: estimated health insurance increases</t>
  </si>
  <si>
    <t>Professional printing of MORE brochures and Explore MORE passport program materials</t>
  </si>
  <si>
    <t>Statewide OverDrive collection buying pool including OverDrive magazines; some funds returned for system Advantage account; preliminary 2025: estimated 10% increase</t>
  </si>
  <si>
    <t xml:space="preserve">   Less $ Estimated to 2025 Projects from Carryover</t>
  </si>
  <si>
    <t xml:space="preserve">   Less 2025 Add'l from Carryover (revised budget)</t>
  </si>
  <si>
    <t xml:space="preserve">   Adj to Close Books @ end of 2025</t>
  </si>
  <si>
    <t>Est Carryover @ 12/31/2025</t>
  </si>
  <si>
    <t xml:space="preserve">  Plus Hawkins Startup (less 1/2 yr Maintenance)</t>
  </si>
  <si>
    <t>Hawkins</t>
  </si>
  <si>
    <t>2025 Preliminary Total</t>
  </si>
  <si>
    <t>Hawkins * 7/1/2024</t>
  </si>
  <si>
    <t xml:space="preserve">  Self-check @ $428/</t>
  </si>
  <si>
    <t>Envisionware, Bibliotheca locker</t>
  </si>
  <si>
    <t xml:space="preserve">  Self-check, locker @ $428/</t>
  </si>
  <si>
    <t xml:space="preserve">  Self-check, AMH @ $428/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</si>
</sst>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40" applyNumberFormat="0" applyAlignment="0" applyProtection="0"/>
    <xf numFmtId="0" fontId="27" fillId="14" borderId="41" applyNumberFormat="0" applyAlignment="0" applyProtection="0"/>
    <xf numFmtId="0" fontId="28" fillId="14" borderId="40" applyNumberFormat="0" applyAlignment="0" applyProtection="0"/>
    <xf numFmtId="0" fontId="29" fillId="0" borderId="42" applyNumberFormat="0" applyFill="0" applyAlignment="0" applyProtection="0"/>
    <xf numFmtId="0" fontId="30" fillId="15" borderId="4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</cellStyleXfs>
  <cellXfs count="31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Alignment="1">
      <alignment horizontal="right"/>
    </xf>
    <xf numFmtId="0" fontId="9" fillId="0" borderId="0" xfId="3" applyAlignment="1">
      <alignment horizontal="right"/>
    </xf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0" xfId="3" applyFont="1"/>
    <xf numFmtId="167" fontId="9" fillId="0" borderId="0" xfId="3" applyNumberFormat="1"/>
    <xf numFmtId="167" fontId="9" fillId="0" borderId="7" xfId="3" applyNumberFormat="1" applyBorder="1"/>
    <xf numFmtId="168" fontId="9" fillId="0" borderId="0" xfId="3" applyNumberFormat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Alignment="1">
      <alignment horizontal="left"/>
    </xf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0" fontId="9" fillId="0" borderId="20" xfId="3" applyBorder="1"/>
    <xf numFmtId="0" fontId="9" fillId="0" borderId="21" xfId="3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167" fontId="9" fillId="0" borderId="1" xfId="4" applyNumberFormat="1" applyBorder="1"/>
    <xf numFmtId="1" fontId="9" fillId="0" borderId="0" xfId="4" applyNumberFormat="1"/>
    <xf numFmtId="167" fontId="9" fillId="0" borderId="26" xfId="4" applyNumberFormat="1" applyBorder="1"/>
    <xf numFmtId="167" fontId="9" fillId="0" borderId="0" xfId="4" applyNumberFormat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8" fillId="0" borderId="0" xfId="3" applyFont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/>
    <xf numFmtId="167" fontId="10" fillId="2" borderId="2" xfId="4" applyNumberFormat="1" applyFont="1" applyFill="1" applyBorder="1"/>
    <xf numFmtId="44" fontId="2" fillId="4" borderId="15" xfId="2" applyFont="1" applyFill="1" applyBorder="1" applyAlignment="1">
      <alignment horizontal="right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/>
    <xf numFmtId="0" fontId="0" fillId="6" borderId="5" xfId="0" applyFill="1" applyBorder="1"/>
    <xf numFmtId="0" fontId="3" fillId="6" borderId="5" xfId="0" applyFont="1" applyFill="1" applyBorder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0" fillId="0" borderId="35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3" fontId="2" fillId="0" borderId="0" xfId="1" applyFill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6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Border="1"/>
    <xf numFmtId="167" fontId="4" fillId="0" borderId="26" xfId="58" applyNumberFormat="1" applyBorder="1"/>
    <xf numFmtId="167" fontId="4" fillId="0" borderId="0" xfId="58" applyNumberForma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0" fontId="35" fillId="0" borderId="0" xfId="0" applyFont="1"/>
    <xf numFmtId="43" fontId="0" fillId="41" borderId="0" xfId="0" applyNumberFormat="1" applyFill="1"/>
    <xf numFmtId="0" fontId="35" fillId="0" borderId="12" xfId="0" applyFont="1" applyBorder="1"/>
    <xf numFmtId="167" fontId="10" fillId="0" borderId="17" xfId="1" applyNumberFormat="1" applyFont="1" applyFill="1" applyBorder="1"/>
    <xf numFmtId="3" fontId="9" fillId="0" borderId="0" xfId="4" applyNumberForma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Alignment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>
      <alignment wrapText="1"/>
    </xf>
    <xf numFmtId="44" fontId="4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Border="1">
      <alignment wrapText="1"/>
    </xf>
    <xf numFmtId="44" fontId="2" fillId="9" borderId="12" xfId="2" applyFont="1" applyFill="1" applyBorder="1">
      <alignment wrapText="1"/>
    </xf>
    <xf numFmtId="44" fontId="5" fillId="4" borderId="12" xfId="2" applyFont="1" applyFill="1" applyBorder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Border="1"/>
    <xf numFmtId="0" fontId="4" fillId="0" borderId="0" xfId="0" applyFont="1" applyAlignment="1">
      <alignment horizontal="left"/>
    </xf>
    <xf numFmtId="44" fontId="0" fillId="0" borderId="0" xfId="2" applyFont="1" applyFill="1">
      <alignment wrapText="1"/>
    </xf>
    <xf numFmtId="0" fontId="2" fillId="0" borderId="12" xfId="0" applyFont="1" applyBorder="1"/>
    <xf numFmtId="44" fontId="0" fillId="41" borderId="0" xfId="0" applyNumberFormat="1" applyFill="1"/>
    <xf numFmtId="44" fontId="2" fillId="0" borderId="12" xfId="2" applyFont="1" applyBorder="1" applyAlignment="1">
      <alignment vertical="center" wrapText="1"/>
    </xf>
    <xf numFmtId="164" fontId="10" fillId="42" borderId="7" xfId="4" applyNumberFormat="1" applyFont="1" applyFill="1" applyBorder="1"/>
    <xf numFmtId="167" fontId="4" fillId="42" borderId="0" xfId="1" applyNumberFormat="1" applyFont="1" applyFill="1" applyBorder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2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5" xfId="1" applyNumberFormat="1" applyFont="1" applyBorder="1"/>
    <xf numFmtId="0" fontId="9" fillId="0" borderId="28" xfId="3" applyBorder="1"/>
    <xf numFmtId="0" fontId="9" fillId="0" borderId="35" xfId="3" applyBorder="1"/>
    <xf numFmtId="164" fontId="10" fillId="0" borderId="0" xfId="4" applyNumberFormat="1" applyFont="1"/>
    <xf numFmtId="43" fontId="3" fillId="9" borderId="15" xfId="0" applyNumberFormat="1" applyFont="1" applyFill="1" applyBorder="1"/>
    <xf numFmtId="43" fontId="3" fillId="43" borderId="15" xfId="0" applyNumberFormat="1" applyFont="1" applyFill="1" applyBorder="1"/>
    <xf numFmtId="43" fontId="3" fillId="44" borderId="15" xfId="0" applyNumberFormat="1" applyFont="1" applyFill="1" applyBorder="1"/>
    <xf numFmtId="43" fontId="3" fillId="45" borderId="15" xfId="0" applyNumberFormat="1" applyFont="1" applyFill="1" applyBorder="1"/>
    <xf numFmtId="43" fontId="3" fillId="46" borderId="15" xfId="0" applyNumberFormat="1" applyFont="1" applyFill="1" applyBorder="1"/>
    <xf numFmtId="43" fontId="3" fillId="47" borderId="15" xfId="0" applyNumberFormat="1" applyFont="1" applyFill="1" applyBorder="1"/>
    <xf numFmtId="43" fontId="3" fillId="48" borderId="15" xfId="0" applyNumberFormat="1" applyFont="1" applyFill="1" applyBorder="1"/>
    <xf numFmtId="0" fontId="4" fillId="0" borderId="0" xfId="4" applyFont="1" applyAlignment="1">
      <alignment horizontal="center"/>
    </xf>
    <xf numFmtId="167" fontId="9" fillId="0" borderId="0" xfId="1" applyNumberFormat="1" applyFont="1" applyFill="1"/>
    <xf numFmtId="10" fontId="9" fillId="0" borderId="0" xfId="5" applyNumberFormat="1" applyFont="1" applyFill="1"/>
    <xf numFmtId="167" fontId="9" fillId="0" borderId="5" xfId="4" applyNumberFormat="1" applyBorder="1"/>
    <xf numFmtId="10" fontId="3" fillId="0" borderId="0" xfId="5" applyNumberFormat="1" applyFont="1"/>
    <xf numFmtId="0" fontId="10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167" fontId="4" fillId="0" borderId="5" xfId="1" applyNumberFormat="1" applyFont="1" applyFill="1" applyBorder="1"/>
    <xf numFmtId="167" fontId="4" fillId="8" borderId="5" xfId="1" applyNumberFormat="1" applyFont="1" applyFill="1" applyBorder="1"/>
    <xf numFmtId="167" fontId="9" fillId="2" borderId="5" xfId="4" applyNumberFormat="1" applyFill="1" applyBorder="1"/>
    <xf numFmtId="169" fontId="4" fillId="0" borderId="6" xfId="5" applyNumberFormat="1" applyFont="1" applyFill="1" applyBorder="1"/>
    <xf numFmtId="167" fontId="4" fillId="0" borderId="33" xfId="1" applyNumberFormat="1" applyFont="1" applyFill="1" applyBorder="1" applyAlignment="1">
      <alignment wrapText="1"/>
    </xf>
    <xf numFmtId="167" fontId="4" fillId="49" borderId="0" xfId="1" applyNumberFormat="1" applyFont="1" applyFill="1"/>
    <xf numFmtId="167" fontId="4" fillId="50" borderId="0" xfId="1" applyNumberFormat="1" applyFont="1" applyFill="1"/>
    <xf numFmtId="167" fontId="10" fillId="0" borderId="17" xfId="1" applyNumberFormat="1" applyFont="1" applyFill="1" applyBorder="1" applyAlignment="1">
      <alignment horizontal="center" wrapText="1"/>
    </xf>
    <xf numFmtId="9" fontId="9" fillId="0" borderId="0" xfId="4" applyNumberFormat="1" applyAlignment="1">
      <alignment horizontal="center"/>
    </xf>
    <xf numFmtId="165" fontId="9" fillId="0" borderId="0" xfId="4" applyNumberFormat="1"/>
    <xf numFmtId="0" fontId="9" fillId="0" borderId="0" xfId="4" applyAlignment="1">
      <alignment horizontal="right"/>
    </xf>
    <xf numFmtId="0" fontId="9" fillId="4" borderId="46" xfId="3" applyFill="1" applyBorder="1"/>
    <xf numFmtId="167" fontId="4" fillId="4" borderId="15" xfId="1" applyNumberFormat="1" applyFont="1" applyFill="1" applyBorder="1"/>
    <xf numFmtId="3" fontId="9" fillId="49" borderId="0" xfId="4" applyNumberFormat="1" applyFill="1"/>
    <xf numFmtId="167" fontId="9" fillId="0" borderId="0" xfId="1" applyNumberFormat="1" applyFont="1"/>
    <xf numFmtId="43" fontId="3" fillId="52" borderId="15" xfId="0" applyNumberFormat="1" applyFont="1" applyFill="1" applyBorder="1"/>
    <xf numFmtId="0" fontId="8" fillId="51" borderId="0" xfId="4" applyFont="1" applyFill="1" applyAlignment="1">
      <alignment horizontal="center"/>
    </xf>
    <xf numFmtId="3" fontId="38" fillId="0" borderId="0" xfId="0" applyNumberFormat="1" applyFont="1" applyAlignment="1">
      <alignment horizontal="right"/>
    </xf>
    <xf numFmtId="164" fontId="10" fillId="41" borderId="0" xfId="4" applyNumberFormat="1" applyFont="1" applyFill="1"/>
    <xf numFmtId="44" fontId="2" fillId="0" borderId="47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41" borderId="0" xfId="4" applyFont="1" applyFill="1"/>
    <xf numFmtId="167" fontId="0" fillId="0" borderId="28" xfId="1" applyNumberFormat="1" applyFont="1" applyFill="1" applyBorder="1"/>
    <xf numFmtId="167" fontId="4" fillId="0" borderId="0" xfId="4" applyNumberFormat="1" applyFont="1" applyAlignment="1">
      <alignment horizontal="right"/>
    </xf>
    <xf numFmtId="10" fontId="4" fillId="50" borderId="0" xfId="5" applyNumberFormat="1" applyFont="1" applyFill="1"/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0" fillId="0" borderId="17" xfId="4" applyFont="1" applyBorder="1" applyAlignment="1">
      <alignment wrapText="1"/>
    </xf>
    <xf numFmtId="44" fontId="2" fillId="0" borderId="7" xfId="2" applyFont="1" applyFill="1" applyBorder="1">
      <alignment wrapText="1"/>
    </xf>
    <xf numFmtId="44" fontId="2" fillId="0" borderId="0" xfId="0" applyNumberFormat="1" applyFont="1"/>
    <xf numFmtId="44" fontId="3" fillId="0" borderId="0" xfId="2" applyFont="1" applyFill="1" applyBorder="1">
      <alignment wrapText="1"/>
    </xf>
    <xf numFmtId="0" fontId="3" fillId="0" borderId="35" xfId="0" applyFont="1" applyBorder="1"/>
    <xf numFmtId="0" fontId="10" fillId="0" borderId="35" xfId="0" applyFont="1" applyBorder="1"/>
    <xf numFmtId="44" fontId="3" fillId="0" borderId="35" xfId="2" applyFont="1" applyFill="1" applyBorder="1">
      <alignment wrapText="1"/>
    </xf>
    <xf numFmtId="0" fontId="10" fillId="0" borderId="35" xfId="0" applyFont="1" applyBorder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10" fontId="0" fillId="0" borderId="0" xfId="0" applyNumberFormat="1"/>
    <xf numFmtId="6" fontId="3" fillId="6" borderId="5" xfId="2" applyNumberFormat="1" applyFont="1" applyFill="1" applyBorder="1">
      <alignment wrapText="1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Alignment="1">
      <alignment horizontal="center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J74"/>
  <sheetViews>
    <sheetView tabSelected="1" showRuler="0" zoomScale="85" zoomScaleNormal="85" zoomScalePageLayoutView="90" workbookViewId="0"/>
  </sheetViews>
  <sheetFormatPr defaultColWidth="8.69921875" defaultRowHeight="13.8"/>
  <cols>
    <col min="1" max="1" width="5.09765625" customWidth="1"/>
    <col min="2" max="2" width="40.3984375" bestFit="1" customWidth="1"/>
    <col min="3" max="3" width="1.09765625" customWidth="1"/>
    <col min="4" max="4" width="18" style="203" customWidth="1"/>
    <col min="5" max="6" width="18" customWidth="1"/>
    <col min="7" max="7" width="1.09765625" customWidth="1"/>
    <col min="8" max="8" width="18" style="203" customWidth="1"/>
    <col min="9" max="9" width="33.3984375" customWidth="1"/>
    <col min="10" max="10" width="14.19921875" bestFit="1" customWidth="1"/>
  </cols>
  <sheetData>
    <row r="1" spans="1:9">
      <c r="B1" s="1" t="s">
        <v>0</v>
      </c>
    </row>
    <row r="2" spans="1:9">
      <c r="B2" s="1" t="s">
        <v>404</v>
      </c>
    </row>
    <row r="3" spans="1:9">
      <c r="B3" s="7">
        <v>45413</v>
      </c>
    </row>
    <row r="4" spans="1:9" ht="5.25" customHeight="1" thickBot="1"/>
    <row r="5" spans="1:9" ht="18" customHeight="1" thickBot="1">
      <c r="A5" s="9" t="s">
        <v>1</v>
      </c>
      <c r="B5" s="2"/>
      <c r="C5" s="13"/>
      <c r="D5" s="204" t="s">
        <v>353</v>
      </c>
      <c r="E5" s="9" t="s">
        <v>406</v>
      </c>
      <c r="F5" s="292" t="s">
        <v>2</v>
      </c>
      <c r="G5" s="292"/>
      <c r="H5" s="204" t="s">
        <v>408</v>
      </c>
      <c r="I5" s="3"/>
    </row>
    <row r="6" spans="1:9" ht="18" customHeight="1" thickBot="1">
      <c r="A6" s="10" t="s">
        <v>3</v>
      </c>
      <c r="B6" s="4" t="s">
        <v>4</v>
      </c>
      <c r="C6" s="14"/>
      <c r="D6" s="205">
        <v>2024</v>
      </c>
      <c r="E6" s="10" t="s">
        <v>5</v>
      </c>
      <c r="F6" s="293" t="s">
        <v>407</v>
      </c>
      <c r="G6" s="293"/>
      <c r="H6" s="205">
        <v>2025</v>
      </c>
      <c r="I6" s="5" t="s">
        <v>405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8"/>
      <c r="I8" s="214"/>
    </row>
    <row r="9" spans="1:9" ht="41.4">
      <c r="A9" s="15">
        <v>1</v>
      </c>
      <c r="B9" s="127" t="s">
        <v>6</v>
      </c>
      <c r="C9" s="11"/>
      <c r="D9" s="226">
        <v>159414</v>
      </c>
      <c r="E9" s="117"/>
      <c r="F9" s="8"/>
      <c r="G9" s="11"/>
      <c r="H9" s="226">
        <f>D9*1.1</f>
        <v>175355.40000000002</v>
      </c>
      <c r="I9" s="112" t="s">
        <v>433</v>
      </c>
    </row>
    <row r="10" spans="1:9" ht="24.75" customHeight="1">
      <c r="A10" s="15">
        <v>2</v>
      </c>
      <c r="B10" s="21" t="s">
        <v>265</v>
      </c>
      <c r="C10" s="11"/>
      <c r="D10" s="8">
        <v>350</v>
      </c>
      <c r="E10" s="8"/>
      <c r="F10" s="8"/>
      <c r="G10" s="11"/>
      <c r="H10" s="8">
        <v>400</v>
      </c>
      <c r="I10" s="215" t="s">
        <v>273</v>
      </c>
    </row>
    <row r="11" spans="1:9">
      <c r="A11" s="15">
        <v>3</v>
      </c>
      <c r="B11" s="127" t="s">
        <v>7</v>
      </c>
      <c r="C11" s="136"/>
      <c r="D11" s="216"/>
      <c r="E11" s="136"/>
      <c r="F11" s="136"/>
      <c r="G11" s="189"/>
      <c r="H11" s="216"/>
      <c r="I11" s="216"/>
    </row>
    <row r="12" spans="1:9">
      <c r="A12" s="15">
        <v>4</v>
      </c>
      <c r="B12" s="21" t="s">
        <v>262</v>
      </c>
      <c r="C12" s="11"/>
      <c r="D12" s="8">
        <v>8000</v>
      </c>
      <c r="E12" s="8"/>
      <c r="F12" s="226"/>
      <c r="G12" s="11"/>
      <c r="H12" s="8">
        <v>8000</v>
      </c>
      <c r="I12" s="215" t="s">
        <v>298</v>
      </c>
    </row>
    <row r="13" spans="1:9" ht="24.75" customHeight="1">
      <c r="A13" s="15">
        <v>5</v>
      </c>
      <c r="B13" s="21" t="s">
        <v>266</v>
      </c>
      <c r="C13" s="11"/>
      <c r="D13" s="8">
        <v>2000</v>
      </c>
      <c r="E13" s="8"/>
      <c r="F13" s="226"/>
      <c r="G13" s="11"/>
      <c r="H13" s="8">
        <v>2000</v>
      </c>
      <c r="I13" s="112" t="s">
        <v>280</v>
      </c>
    </row>
    <row r="14" spans="1:9" ht="24.75" customHeight="1">
      <c r="A14" s="15">
        <v>6</v>
      </c>
      <c r="B14" s="21" t="s">
        <v>267</v>
      </c>
      <c r="C14" s="11"/>
      <c r="D14" s="8">
        <v>5785</v>
      </c>
      <c r="E14" s="8"/>
      <c r="F14" s="226"/>
      <c r="G14" s="11"/>
      <c r="H14" s="226">
        <v>6000</v>
      </c>
      <c r="I14" s="215" t="s">
        <v>276</v>
      </c>
    </row>
    <row r="15" spans="1:9" ht="61.5" customHeight="1">
      <c r="A15" s="15">
        <v>7</v>
      </c>
      <c r="B15" s="234" t="s">
        <v>304</v>
      </c>
      <c r="C15" s="11"/>
      <c r="D15" s="8">
        <v>51435</v>
      </c>
      <c r="E15" s="8"/>
      <c r="F15" s="226"/>
      <c r="G15" s="11"/>
      <c r="H15" s="226">
        <v>53107</v>
      </c>
      <c r="I15" s="236" t="s">
        <v>437</v>
      </c>
    </row>
    <row r="16" spans="1:9" ht="41.4">
      <c r="A16" s="15">
        <v>8</v>
      </c>
      <c r="B16" s="234" t="s">
        <v>352</v>
      </c>
      <c r="C16" s="11"/>
      <c r="D16" s="8">
        <v>35823</v>
      </c>
      <c r="E16" s="8"/>
      <c r="F16" s="226"/>
      <c r="G16" s="11"/>
      <c r="H16" s="8">
        <f>D16*1.1</f>
        <v>39405.300000000003</v>
      </c>
      <c r="I16" s="112" t="s">
        <v>434</v>
      </c>
    </row>
    <row r="17" spans="1:9" ht="41.4">
      <c r="A17" s="15">
        <v>9</v>
      </c>
      <c r="B17" s="200" t="s">
        <v>281</v>
      </c>
      <c r="C17" s="11"/>
      <c r="D17" s="8">
        <v>3629</v>
      </c>
      <c r="E17" s="8"/>
      <c r="F17" s="226"/>
      <c r="G17" s="11"/>
      <c r="H17" s="226">
        <f>D17*1.1</f>
        <v>3991.9000000000005</v>
      </c>
      <c r="I17" s="112" t="s">
        <v>435</v>
      </c>
    </row>
    <row r="18" spans="1:9" ht="41.4">
      <c r="A18" s="15">
        <v>10</v>
      </c>
      <c r="B18" s="234" t="s">
        <v>329</v>
      </c>
      <c r="C18" s="11"/>
      <c r="D18" s="8">
        <v>12033</v>
      </c>
      <c r="E18" s="189"/>
      <c r="F18" s="226"/>
      <c r="G18" s="11"/>
      <c r="H18" s="226">
        <f>D18*1.1</f>
        <v>13236.300000000001</v>
      </c>
      <c r="I18" s="112" t="s">
        <v>436</v>
      </c>
    </row>
    <row r="19" spans="1:9" ht="27.6">
      <c r="A19" s="15">
        <v>11</v>
      </c>
      <c r="B19" s="21" t="s">
        <v>305</v>
      </c>
      <c r="C19" s="11"/>
      <c r="D19" s="8">
        <v>12859</v>
      </c>
      <c r="E19" s="8"/>
      <c r="F19" s="226"/>
      <c r="G19" s="11"/>
      <c r="H19" s="226">
        <v>13277</v>
      </c>
      <c r="I19" s="112" t="s">
        <v>330</v>
      </c>
    </row>
    <row r="20" spans="1:9" ht="41.4">
      <c r="A20" s="15">
        <v>12</v>
      </c>
      <c r="B20" s="234" t="s">
        <v>356</v>
      </c>
      <c r="C20" s="11"/>
      <c r="D20" s="8">
        <v>3300</v>
      </c>
      <c r="E20" s="8"/>
      <c r="F20" s="226"/>
      <c r="G20" s="11"/>
      <c r="H20" s="8">
        <f>D20*1.1</f>
        <v>3630.0000000000005</v>
      </c>
      <c r="I20" s="112" t="s">
        <v>438</v>
      </c>
    </row>
    <row r="21" spans="1:9" ht="23.4" customHeight="1">
      <c r="A21" s="15">
        <v>13</v>
      </c>
      <c r="B21" s="21" t="s">
        <v>268</v>
      </c>
      <c r="C21" s="11"/>
      <c r="D21" s="8"/>
      <c r="E21" s="8"/>
      <c r="F21" s="226"/>
      <c r="G21" s="11"/>
      <c r="H21" s="226"/>
      <c r="I21" s="112"/>
    </row>
    <row r="22" spans="1:9" ht="24.75" customHeight="1">
      <c r="A22" s="15">
        <v>14</v>
      </c>
      <c r="B22" s="127" t="s">
        <v>8</v>
      </c>
      <c r="C22" s="136"/>
      <c r="D22" s="210"/>
      <c r="E22" s="136"/>
      <c r="F22" s="136"/>
      <c r="G22" s="189"/>
      <c r="H22" s="210"/>
      <c r="I22" s="216"/>
    </row>
    <row r="23" spans="1:9" ht="121.2" customHeight="1">
      <c r="A23" s="15">
        <v>15</v>
      </c>
      <c r="B23" s="21" t="s">
        <v>269</v>
      </c>
      <c r="C23" s="11"/>
      <c r="D23" s="189">
        <v>489650</v>
      </c>
      <c r="E23" s="8"/>
      <c r="F23" s="226"/>
      <c r="G23" s="11"/>
      <c r="H23" s="295">
        <v>532684</v>
      </c>
      <c r="I23" s="214" t="s">
        <v>439</v>
      </c>
    </row>
    <row r="24" spans="1:9" ht="24.75" customHeight="1">
      <c r="A24" s="15">
        <v>16</v>
      </c>
      <c r="B24" s="21" t="s">
        <v>275</v>
      </c>
      <c r="C24" s="11"/>
      <c r="D24" s="8">
        <v>3500</v>
      </c>
      <c r="E24" s="8"/>
      <c r="F24" s="226"/>
      <c r="G24" s="11"/>
      <c r="H24" s="226">
        <v>3500</v>
      </c>
      <c r="I24" s="214" t="s">
        <v>300</v>
      </c>
    </row>
    <row r="25" spans="1:9" ht="24.75" customHeight="1">
      <c r="A25" s="15">
        <v>17</v>
      </c>
      <c r="B25" s="127" t="s">
        <v>9</v>
      </c>
      <c r="C25" s="136"/>
      <c r="D25" s="210"/>
      <c r="E25" s="136"/>
      <c r="F25" s="136"/>
      <c r="G25" s="189"/>
      <c r="H25" s="211"/>
      <c r="I25" s="216"/>
    </row>
    <row r="26" spans="1:9" ht="19.5" customHeight="1">
      <c r="A26" s="15">
        <v>18</v>
      </c>
      <c r="B26" s="21" t="s">
        <v>264</v>
      </c>
      <c r="C26" s="11"/>
      <c r="D26" s="8">
        <v>1000</v>
      </c>
      <c r="E26" s="189"/>
      <c r="F26" s="226"/>
      <c r="G26" s="11"/>
      <c r="H26" s="226">
        <v>1000</v>
      </c>
      <c r="I26" s="214" t="s">
        <v>270</v>
      </c>
    </row>
    <row r="27" spans="1:9" ht="26.4">
      <c r="A27" s="15">
        <v>19</v>
      </c>
      <c r="B27" s="21" t="s">
        <v>10</v>
      </c>
      <c r="C27" s="11"/>
      <c r="D27" s="8">
        <v>7000</v>
      </c>
      <c r="E27" s="8"/>
      <c r="F27" s="226"/>
      <c r="G27" s="11"/>
      <c r="H27" s="226">
        <v>7000</v>
      </c>
      <c r="I27" s="214" t="s">
        <v>357</v>
      </c>
    </row>
    <row r="28" spans="1:9" ht="24.75" customHeight="1">
      <c r="A28" s="15">
        <v>20</v>
      </c>
      <c r="B28" s="127" t="s">
        <v>11</v>
      </c>
      <c r="C28" s="136"/>
      <c r="D28" s="210"/>
      <c r="E28" s="136"/>
      <c r="F28" s="136"/>
      <c r="G28" s="189"/>
      <c r="H28" s="210"/>
      <c r="I28" s="216"/>
    </row>
    <row r="29" spans="1:9" ht="24.75" customHeight="1">
      <c r="A29" s="15">
        <v>21</v>
      </c>
      <c r="B29" s="21" t="s">
        <v>12</v>
      </c>
      <c r="C29" s="11"/>
      <c r="D29" s="8">
        <v>3000</v>
      </c>
      <c r="E29" s="189"/>
      <c r="F29" s="226"/>
      <c r="G29" s="11"/>
      <c r="H29" s="226">
        <v>4500</v>
      </c>
      <c r="I29" s="214" t="s">
        <v>440</v>
      </c>
    </row>
    <row r="30" spans="1:9" ht="24.75" customHeight="1">
      <c r="A30" s="15">
        <v>22</v>
      </c>
      <c r="B30" s="21" t="s">
        <v>13</v>
      </c>
      <c r="C30" s="11"/>
      <c r="D30" s="8">
        <v>40000</v>
      </c>
      <c r="E30" s="189"/>
      <c r="F30" s="226"/>
      <c r="G30" s="11"/>
      <c r="H30" s="226">
        <v>45000</v>
      </c>
      <c r="I30" s="214" t="s">
        <v>293</v>
      </c>
    </row>
    <row r="31" spans="1:9" ht="24.75" customHeight="1">
      <c r="A31" s="15">
        <v>23</v>
      </c>
      <c r="B31" s="22" t="s">
        <v>14</v>
      </c>
      <c r="C31" s="11"/>
      <c r="D31" s="8">
        <v>5000</v>
      </c>
      <c r="E31" s="8"/>
      <c r="F31" s="226"/>
      <c r="G31" s="11"/>
      <c r="H31" s="8">
        <v>5000</v>
      </c>
      <c r="I31" s="214"/>
    </row>
    <row r="32" spans="1:9" ht="24.75" customHeight="1">
      <c r="A32" s="15">
        <v>24</v>
      </c>
      <c r="B32" s="127" t="s">
        <v>15</v>
      </c>
      <c r="C32" s="136"/>
      <c r="D32" s="210"/>
      <c r="E32" s="136"/>
      <c r="F32" s="136"/>
      <c r="G32" s="189"/>
      <c r="H32" s="210"/>
      <c r="I32" s="216"/>
    </row>
    <row r="33" spans="1:10" ht="53.4">
      <c r="A33" s="15">
        <v>25</v>
      </c>
      <c r="B33" s="135" t="s">
        <v>16</v>
      </c>
      <c r="C33" s="11"/>
      <c r="D33" s="8">
        <v>142648</v>
      </c>
      <c r="E33" s="189"/>
      <c r="F33" s="226"/>
      <c r="G33" s="11"/>
      <c r="H33" s="226">
        <f>D33*1.1</f>
        <v>156912.80000000002</v>
      </c>
      <c r="I33" s="214" t="s">
        <v>441</v>
      </c>
    </row>
    <row r="34" spans="1:10" ht="26.4">
      <c r="A34" s="15">
        <v>26</v>
      </c>
      <c r="B34" s="22" t="s">
        <v>17</v>
      </c>
      <c r="C34" s="12"/>
      <c r="D34" s="134">
        <v>60000</v>
      </c>
      <c r="E34" s="189"/>
      <c r="F34" s="226"/>
      <c r="G34" s="11"/>
      <c r="H34" s="226">
        <v>60000</v>
      </c>
      <c r="I34" s="214" t="s">
        <v>363</v>
      </c>
    </row>
    <row r="35" spans="1:10" ht="34.5" customHeight="1">
      <c r="A35" s="15">
        <v>27</v>
      </c>
      <c r="B35" s="22" t="s">
        <v>299</v>
      </c>
      <c r="C35" s="12"/>
      <c r="D35" s="134">
        <v>5000</v>
      </c>
      <c r="E35" s="189"/>
      <c r="F35" s="226"/>
      <c r="G35" s="11"/>
      <c r="H35" s="226">
        <v>5000</v>
      </c>
      <c r="I35" s="214" t="s">
        <v>364</v>
      </c>
    </row>
    <row r="36" spans="1:10" ht="51" customHeight="1">
      <c r="A36" s="15">
        <v>28</v>
      </c>
      <c r="B36" s="22" t="s">
        <v>277</v>
      </c>
      <c r="C36" s="12"/>
      <c r="D36" s="134">
        <v>10000</v>
      </c>
      <c r="E36" s="190"/>
      <c r="F36" s="226"/>
      <c r="G36" s="11"/>
      <c r="H36" s="226">
        <v>10000</v>
      </c>
      <c r="I36" s="214" t="s">
        <v>365</v>
      </c>
    </row>
    <row r="37" spans="1:10" ht="24.75" customHeight="1">
      <c r="A37" s="15">
        <v>29</v>
      </c>
      <c r="B37" s="137" t="s">
        <v>18</v>
      </c>
      <c r="C37" s="12"/>
      <c r="D37" s="210">
        <f>SUM(D33:D36)</f>
        <v>217648</v>
      </c>
      <c r="E37" s="156"/>
      <c r="F37" s="156"/>
      <c r="G37" s="12"/>
      <c r="H37" s="210">
        <f>SUM(H33:H36)</f>
        <v>231912.80000000002</v>
      </c>
      <c r="I37" s="216"/>
    </row>
    <row r="38" spans="1:10">
      <c r="A38" s="15">
        <v>30</v>
      </c>
      <c r="B38" s="127" t="s">
        <v>19</v>
      </c>
      <c r="C38" s="136"/>
      <c r="D38" s="211"/>
      <c r="E38" s="136"/>
      <c r="F38" s="136"/>
      <c r="G38" s="136"/>
      <c r="H38" s="211"/>
      <c r="I38" s="216"/>
    </row>
    <row r="39" spans="1:10">
      <c r="A39" s="15">
        <v>31</v>
      </c>
      <c r="B39" s="22" t="s">
        <v>20</v>
      </c>
      <c r="C39" s="11"/>
      <c r="D39" s="223"/>
      <c r="E39" s="189"/>
      <c r="F39" s="8"/>
      <c r="G39" s="11"/>
      <c r="H39" s="223"/>
      <c r="I39" s="218" t="s">
        <v>409</v>
      </c>
    </row>
    <row r="40" spans="1:10">
      <c r="A40" s="15">
        <v>32</v>
      </c>
      <c r="B40" s="22" t="s">
        <v>21</v>
      </c>
      <c r="C40" s="11"/>
      <c r="D40" s="223"/>
      <c r="E40" s="8"/>
      <c r="F40" s="8"/>
      <c r="G40" s="11"/>
      <c r="H40" s="223"/>
      <c r="I40" s="218" t="s">
        <v>410</v>
      </c>
    </row>
    <row r="41" spans="1:10">
      <c r="A41" s="15">
        <v>33</v>
      </c>
      <c r="B41" s="22" t="s">
        <v>22</v>
      </c>
      <c r="C41" s="11"/>
      <c r="D41" s="223"/>
      <c r="E41" s="8"/>
      <c r="F41" s="8"/>
      <c r="G41" s="11"/>
      <c r="H41" s="223"/>
      <c r="I41" s="218" t="s">
        <v>411</v>
      </c>
    </row>
    <row r="42" spans="1:10">
      <c r="A42" s="15">
        <v>34</v>
      </c>
      <c r="B42" s="22" t="s">
        <v>23</v>
      </c>
      <c r="C42" s="11"/>
      <c r="D42" s="212">
        <v>20000</v>
      </c>
      <c r="E42" s="63"/>
      <c r="F42" s="63"/>
      <c r="G42" s="11"/>
      <c r="H42" s="212">
        <v>20000</v>
      </c>
      <c r="I42" s="219"/>
    </row>
    <row r="43" spans="1:10" ht="24.75" customHeight="1" thickBot="1">
      <c r="A43" s="15">
        <v>35</v>
      </c>
      <c r="B43" s="23"/>
      <c r="C43" s="18"/>
      <c r="D43" s="223"/>
      <c r="E43" s="17"/>
      <c r="F43" s="17"/>
      <c r="G43" s="18"/>
      <c r="H43" s="223"/>
      <c r="I43" s="220"/>
      <c r="J43" s="157" t="s">
        <v>324</v>
      </c>
    </row>
    <row r="44" spans="1:10" ht="22.5" customHeight="1" thickBot="1">
      <c r="A44" s="15">
        <v>36</v>
      </c>
      <c r="B44" s="69" t="s">
        <v>24</v>
      </c>
      <c r="C44" s="70"/>
      <c r="D44" s="228">
        <f>SUM(D9:D36)-D42</f>
        <v>1041426</v>
      </c>
      <c r="E44" s="126">
        <f>SUM(E9:E36)-E42</f>
        <v>0</v>
      </c>
      <c r="F44" s="126"/>
      <c r="G44" s="70"/>
      <c r="H44" s="228">
        <f>SUM(H9:H36)-H42</f>
        <v>1128999.7</v>
      </c>
      <c r="I44" s="221" t="s">
        <v>25</v>
      </c>
      <c r="J44" s="260">
        <f>(H44-D44)/D44</f>
        <v>8.4090180195232261E-2</v>
      </c>
    </row>
    <row r="45" spans="1:10" ht="15" customHeight="1">
      <c r="A45" s="15">
        <v>37</v>
      </c>
      <c r="B45" s="26"/>
      <c r="C45" s="20"/>
      <c r="D45" s="223"/>
      <c r="E45" s="19"/>
      <c r="F45" s="19"/>
      <c r="G45" s="20"/>
      <c r="H45" s="223"/>
      <c r="I45" s="222"/>
    </row>
    <row r="46" spans="1:10" ht="24.75" customHeight="1">
      <c r="A46" s="15">
        <v>38</v>
      </c>
      <c r="B46" s="24" t="s">
        <v>263</v>
      </c>
      <c r="C46" s="11"/>
      <c r="D46" s="206">
        <v>224000</v>
      </c>
      <c r="E46" s="8"/>
      <c r="F46" s="206">
        <v>224000</v>
      </c>
      <c r="G46" s="11"/>
      <c r="H46" s="206">
        <v>224000</v>
      </c>
      <c r="I46" s="217"/>
    </row>
    <row r="47" spans="1:10" ht="15.75" customHeight="1" thickBot="1">
      <c r="A47" s="15">
        <v>39</v>
      </c>
      <c r="B47" s="24"/>
      <c r="C47" s="11"/>
      <c r="D47" s="209"/>
      <c r="E47" s="8"/>
      <c r="F47" s="8"/>
      <c r="G47" s="11"/>
      <c r="H47" s="209"/>
      <c r="I47" s="8"/>
    </row>
    <row r="48" spans="1:10" ht="24.75" customHeight="1" thickBot="1">
      <c r="A48" s="15">
        <v>40</v>
      </c>
      <c r="B48" s="25" t="s">
        <v>26</v>
      </c>
      <c r="C48" s="106"/>
      <c r="D48" s="227">
        <f>Carryover!C147</f>
        <v>70972.949999999953</v>
      </c>
      <c r="E48" s="285"/>
      <c r="F48" s="120">
        <f>Carryover!C147</f>
        <v>70972.949999999953</v>
      </c>
      <c r="G48" s="106"/>
      <c r="H48" s="227">
        <f>Carryover!C154</f>
        <v>67754.949999999953</v>
      </c>
      <c r="I48" s="112" t="s">
        <v>27</v>
      </c>
    </row>
    <row r="49" spans="1:9" ht="24.75" customHeight="1">
      <c r="A49" s="15"/>
      <c r="B49" s="21"/>
      <c r="C49" s="11"/>
      <c r="D49" s="213"/>
      <c r="E49" s="19"/>
      <c r="F49" s="19"/>
      <c r="G49" s="11"/>
      <c r="H49" s="213"/>
      <c r="I49" s="8"/>
    </row>
    <row r="50" spans="1:9" ht="6.75" customHeight="1"/>
    <row r="56" spans="1:9">
      <c r="A56" s="1"/>
    </row>
    <row r="58" spans="1:9">
      <c r="B58" s="1"/>
    </row>
    <row r="69" spans="2:2" ht="24.75" customHeight="1">
      <c r="B69" s="1"/>
    </row>
    <row r="70" spans="2:2" ht="29.25" customHeight="1"/>
    <row r="74" spans="2:2" ht="24" customHeight="1">
      <c r="B74" s="1"/>
    </row>
  </sheetData>
  <phoneticPr fontId="0" type="noConversion"/>
  <printOptions horizontalCentered="1"/>
  <pageMargins left="0.36" right="0.35" top="0.48" bottom="0.56999999999999995" header="0.22" footer="0.27"/>
  <pageSetup scale="72" fitToHeight="2" orientation="landscape" r:id="rId1"/>
  <headerFooter>
    <oddHeader>&amp;C&amp;K0000002025 Preliminary MORE Budget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L161"/>
  <sheetViews>
    <sheetView showRuler="0" zoomScale="83" zoomScaleNormal="83" workbookViewId="0"/>
  </sheetViews>
  <sheetFormatPr defaultColWidth="8.69921875" defaultRowHeight="13.8"/>
  <cols>
    <col min="1" max="1" width="5.09765625" customWidth="1"/>
    <col min="2" max="2" width="43.59765625" customWidth="1"/>
    <col min="3" max="3" width="17.8984375" customWidth="1"/>
    <col min="4" max="4" width="3.69921875" customWidth="1"/>
    <col min="5" max="5" width="13.59765625" customWidth="1"/>
    <col min="6" max="6" width="15.8984375" customWidth="1"/>
    <col min="7" max="7" width="1.09765625" customWidth="1"/>
    <col min="8" max="9" width="18" customWidth="1"/>
  </cols>
  <sheetData>
    <row r="3" spans="1:6">
      <c r="E3" s="154"/>
    </row>
    <row r="4" spans="1:6">
      <c r="E4" s="154"/>
    </row>
    <row r="5" spans="1:6">
      <c r="E5" s="154" t="s">
        <v>231</v>
      </c>
    </row>
    <row r="6" spans="1:6">
      <c r="E6" s="154" t="s">
        <v>306</v>
      </c>
    </row>
    <row r="7" spans="1:6">
      <c r="A7" s="1" t="s">
        <v>28</v>
      </c>
      <c r="E7" s="154" t="s">
        <v>307</v>
      </c>
    </row>
    <row r="8" spans="1:6" ht="14.4" thickBot="1">
      <c r="E8" s="154" t="s">
        <v>29</v>
      </c>
      <c r="F8" s="287" t="s">
        <v>350</v>
      </c>
    </row>
    <row r="9" spans="1:6" ht="14.4" hidden="1" thickBot="1">
      <c r="B9" s="1" t="s">
        <v>31</v>
      </c>
      <c r="C9" s="108">
        <v>490267.7</v>
      </c>
      <c r="F9" s="107">
        <v>300000</v>
      </c>
    </row>
    <row r="10" spans="1:6" hidden="1">
      <c r="B10" t="s">
        <v>32</v>
      </c>
      <c r="C10" s="109">
        <v>-300000</v>
      </c>
    </row>
    <row r="11" spans="1:6" hidden="1">
      <c r="B11" t="s">
        <v>33</v>
      </c>
      <c r="C11" s="109">
        <v>-46260</v>
      </c>
    </row>
    <row r="12" spans="1:6" hidden="1">
      <c r="B12" t="s">
        <v>34</v>
      </c>
      <c r="C12" s="109">
        <v>43000</v>
      </c>
    </row>
    <row r="13" spans="1:6" hidden="1">
      <c r="B13" t="s">
        <v>35</v>
      </c>
      <c r="C13" s="109">
        <v>18000</v>
      </c>
    </row>
    <row r="14" spans="1:6" hidden="1">
      <c r="B14" t="s">
        <v>36</v>
      </c>
      <c r="C14" s="110">
        <v>27000</v>
      </c>
    </row>
    <row r="15" spans="1:6" hidden="1">
      <c r="B15" t="s">
        <v>37</v>
      </c>
      <c r="C15" s="110">
        <v>18000</v>
      </c>
    </row>
    <row r="16" spans="1:6" hidden="1">
      <c r="B16" t="s">
        <v>38</v>
      </c>
      <c r="C16" s="110">
        <v>27000</v>
      </c>
    </row>
    <row r="17" spans="2:5" hidden="1">
      <c r="B17" t="s">
        <v>39</v>
      </c>
      <c r="C17" s="110">
        <v>-32950</v>
      </c>
    </row>
    <row r="18" spans="2:5" hidden="1">
      <c r="B18" t="s">
        <v>40</v>
      </c>
      <c r="C18" s="110">
        <v>-6544</v>
      </c>
    </row>
    <row r="19" spans="2:5" ht="14.4" hidden="1" thickBot="1">
      <c r="B19" t="s">
        <v>41</v>
      </c>
      <c r="C19" s="110">
        <v>30177.18</v>
      </c>
    </row>
    <row r="20" spans="2:5" ht="24.75" hidden="1" customHeight="1" thickBot="1">
      <c r="B20" s="1" t="s">
        <v>42</v>
      </c>
      <c r="C20" s="107">
        <f>SUM(C9:C19)</f>
        <v>267690.88</v>
      </c>
      <c r="E20" s="107">
        <f>C20+300000</f>
        <v>567690.88</v>
      </c>
    </row>
    <row r="21" spans="2:5" ht="29.25" hidden="1" customHeight="1">
      <c r="B21" t="s">
        <v>43</v>
      </c>
      <c r="C21" s="105">
        <v>-104250</v>
      </c>
    </row>
    <row r="22" spans="2:5" hidden="1">
      <c r="B22" t="s">
        <v>44</v>
      </c>
      <c r="C22" s="109">
        <v>-4853</v>
      </c>
    </row>
    <row r="23" spans="2:5" hidden="1">
      <c r="B23" t="s">
        <v>45</v>
      </c>
      <c r="C23" s="109">
        <v>31500</v>
      </c>
    </row>
    <row r="24" spans="2:5" hidden="1">
      <c r="B24" t="s">
        <v>46</v>
      </c>
      <c r="C24" s="109">
        <v>27000</v>
      </c>
    </row>
    <row r="25" spans="2:5" hidden="1">
      <c r="B25" t="s">
        <v>39</v>
      </c>
      <c r="C25" s="109">
        <v>-23507</v>
      </c>
    </row>
    <row r="26" spans="2:5" hidden="1">
      <c r="B26" t="s">
        <v>47</v>
      </c>
      <c r="C26" s="109">
        <v>-3029</v>
      </c>
    </row>
    <row r="27" spans="2:5" ht="14.4" hidden="1" thickBot="1">
      <c r="B27" t="s">
        <v>48</v>
      </c>
      <c r="C27" s="109">
        <v>-27524.5</v>
      </c>
    </row>
    <row r="28" spans="2:5" ht="24" hidden="1" customHeight="1" thickBot="1">
      <c r="B28" s="44" t="s">
        <v>49</v>
      </c>
      <c r="C28" s="107">
        <f>SUM(C20:C27)</f>
        <v>163027.38</v>
      </c>
      <c r="E28" s="107">
        <f>C28+300000</f>
        <v>463027.38</v>
      </c>
    </row>
    <row r="29" spans="2:5" ht="31.5" hidden="1" customHeight="1">
      <c r="B29" t="s">
        <v>50</v>
      </c>
      <c r="C29" s="111">
        <f>-5918-12500-1294.81-259-3500</f>
        <v>-23471.81</v>
      </c>
    </row>
    <row r="30" spans="2:5" hidden="1">
      <c r="B30" t="s">
        <v>51</v>
      </c>
      <c r="C30" s="109">
        <v>-6312</v>
      </c>
      <c r="D30" t="s">
        <v>52</v>
      </c>
    </row>
    <row r="31" spans="2:5" hidden="1">
      <c r="B31" t="s">
        <v>53</v>
      </c>
      <c r="C31" s="109">
        <v>40500</v>
      </c>
      <c r="D31" t="s">
        <v>54</v>
      </c>
    </row>
    <row r="32" spans="2:5" hidden="1">
      <c r="B32" t="s">
        <v>55</v>
      </c>
      <c r="C32" s="109">
        <v>18000</v>
      </c>
      <c r="D32" t="s">
        <v>54</v>
      </c>
    </row>
    <row r="33" spans="2:5" hidden="1">
      <c r="B33" t="s">
        <v>56</v>
      </c>
      <c r="C33" s="109">
        <v>31500</v>
      </c>
      <c r="D33" t="s">
        <v>57</v>
      </c>
      <c r="E33" s="113" t="s">
        <v>58</v>
      </c>
    </row>
    <row r="34" spans="2:5" hidden="1">
      <c r="B34" t="s">
        <v>59</v>
      </c>
      <c r="C34" s="109">
        <v>18000</v>
      </c>
      <c r="D34" t="s">
        <v>54</v>
      </c>
    </row>
    <row r="35" spans="2:5" hidden="1">
      <c r="B35" t="s">
        <v>60</v>
      </c>
      <c r="C35" s="109">
        <v>54000</v>
      </c>
      <c r="D35" t="s">
        <v>54</v>
      </c>
    </row>
    <row r="36" spans="2:5" hidden="1">
      <c r="B36" t="s">
        <v>61</v>
      </c>
      <c r="C36" s="109">
        <v>13500</v>
      </c>
      <c r="D36" t="s">
        <v>62</v>
      </c>
    </row>
    <row r="37" spans="2:5" hidden="1">
      <c r="B37" t="s">
        <v>63</v>
      </c>
      <c r="C37" s="109">
        <v>-117625</v>
      </c>
    </row>
    <row r="38" spans="2:5" hidden="1">
      <c r="B38" t="s">
        <v>39</v>
      </c>
      <c r="C38" s="109">
        <f>-18750-6750-6750-1462.5</f>
        <v>-33712.5</v>
      </c>
    </row>
    <row r="39" spans="2:5" hidden="1">
      <c r="B39" t="s">
        <v>47</v>
      </c>
      <c r="C39" s="109">
        <f>-11017.27-1150.34</f>
        <v>-12167.61</v>
      </c>
    </row>
    <row r="40" spans="2:5" hidden="1">
      <c r="B40" t="s">
        <v>64</v>
      </c>
      <c r="C40" s="109">
        <v>-3376.25</v>
      </c>
    </row>
    <row r="41" spans="2:5" hidden="1">
      <c r="B41" t="s">
        <v>65</v>
      </c>
      <c r="C41" s="109">
        <v>-11625</v>
      </c>
    </row>
    <row r="42" spans="2:5" ht="14.4" hidden="1" thickBot="1">
      <c r="B42" t="s">
        <v>66</v>
      </c>
      <c r="C42">
        <v>3240.49</v>
      </c>
    </row>
    <row r="43" spans="2:5" ht="30.75" hidden="1" customHeight="1" thickBot="1">
      <c r="B43" s="44" t="s">
        <v>67</v>
      </c>
      <c r="C43" s="107">
        <f>SUM(C28:C42)</f>
        <v>133477.70000000001</v>
      </c>
      <c r="E43" s="107">
        <f>C43+300000</f>
        <v>433477.7</v>
      </c>
    </row>
    <row r="44" spans="2:5" ht="29.25" hidden="1" customHeight="1">
      <c r="B44" t="s">
        <v>68</v>
      </c>
      <c r="C44" s="111">
        <f>-13125-79875-9000</f>
        <v>-102000</v>
      </c>
    </row>
    <row r="45" spans="2:5" hidden="1">
      <c r="B45" t="s">
        <v>69</v>
      </c>
      <c r="C45" s="109">
        <v>-18286.02</v>
      </c>
    </row>
    <row r="46" spans="2:5" hidden="1">
      <c r="B46" t="s">
        <v>70</v>
      </c>
      <c r="C46" s="109">
        <v>-3623.75</v>
      </c>
    </row>
    <row r="47" spans="2:5" hidden="1">
      <c r="B47" t="s">
        <v>71</v>
      </c>
      <c r="C47" s="109">
        <v>88678</v>
      </c>
    </row>
    <row r="48" spans="2:5" hidden="1">
      <c r="B48" t="s">
        <v>72</v>
      </c>
      <c r="C48" s="109">
        <v>-20825</v>
      </c>
    </row>
    <row r="49" spans="2:6" hidden="1">
      <c r="B49" t="s">
        <v>73</v>
      </c>
      <c r="C49" s="109">
        <v>-2125</v>
      </c>
    </row>
    <row r="50" spans="2:6" hidden="1">
      <c r="B50" t="s">
        <v>74</v>
      </c>
      <c r="C50" s="109">
        <v>-877.94</v>
      </c>
    </row>
    <row r="51" spans="2:6" hidden="1">
      <c r="B51" t="s">
        <v>75</v>
      </c>
      <c r="C51" s="109">
        <v>-3000</v>
      </c>
    </row>
    <row r="52" spans="2:6" hidden="1">
      <c r="B52" t="s">
        <v>76</v>
      </c>
      <c r="C52" s="109">
        <v>-15000</v>
      </c>
    </row>
    <row r="53" spans="2:6" ht="14.4" hidden="1" thickBot="1">
      <c r="B53" t="s">
        <v>77</v>
      </c>
      <c r="C53" s="109">
        <v>11626.97</v>
      </c>
    </row>
    <row r="54" spans="2:6" ht="30.75" hidden="1" customHeight="1" thickBot="1">
      <c r="B54" s="44" t="s">
        <v>78</v>
      </c>
      <c r="C54" s="107">
        <f>SUM(C43:C53)</f>
        <v>68044.960000000006</v>
      </c>
      <c r="E54" s="107">
        <f>C54+300000</f>
        <v>368044.96</v>
      </c>
      <c r="F54" s="107">
        <v>300000</v>
      </c>
    </row>
    <row r="55" spans="2:6" ht="28.5" hidden="1" customHeight="1">
      <c r="B55" t="s">
        <v>79</v>
      </c>
      <c r="C55" s="111">
        <v>-40850</v>
      </c>
    </row>
    <row r="56" spans="2:6" hidden="1">
      <c r="B56" t="s">
        <v>71</v>
      </c>
      <c r="C56" s="109">
        <v>30678</v>
      </c>
    </row>
    <row r="57" spans="2:6" hidden="1">
      <c r="B57" t="s">
        <v>80</v>
      </c>
      <c r="C57" s="109">
        <v>13500</v>
      </c>
    </row>
    <row r="58" spans="2:6" hidden="1">
      <c r="B58" t="s">
        <v>81</v>
      </c>
      <c r="C58" s="131">
        <v>-4950</v>
      </c>
    </row>
    <row r="59" spans="2:6" ht="14.4" hidden="1" thickBot="1">
      <c r="B59" t="s">
        <v>82</v>
      </c>
      <c r="C59" s="131">
        <v>5394.93</v>
      </c>
      <c r="F59" s="157" t="s">
        <v>30</v>
      </c>
    </row>
    <row r="60" spans="2:6" ht="30.75" hidden="1" customHeight="1" thickBot="1">
      <c r="B60" s="44" t="s">
        <v>83</v>
      </c>
      <c r="C60" s="107">
        <f>SUM(C54:C59)</f>
        <v>71817.890000000014</v>
      </c>
      <c r="E60" s="107">
        <f>C60+300000</f>
        <v>371817.89</v>
      </c>
      <c r="F60" s="107">
        <v>300000</v>
      </c>
    </row>
    <row r="61" spans="2:6" ht="27.75" hidden="1" customHeight="1"/>
    <row r="62" spans="2:6" hidden="1">
      <c r="B62" t="s">
        <v>84</v>
      </c>
      <c r="C62" s="111">
        <v>-14000</v>
      </c>
    </row>
    <row r="63" spans="2:6" hidden="1">
      <c r="B63" t="s">
        <v>85</v>
      </c>
      <c r="C63" s="105">
        <v>27000</v>
      </c>
    </row>
    <row r="64" spans="2:6" hidden="1">
      <c r="B64" t="s">
        <v>86</v>
      </c>
      <c r="C64" s="105">
        <v>36000</v>
      </c>
    </row>
    <row r="65" spans="2:6" hidden="1">
      <c r="B65" t="s">
        <v>87</v>
      </c>
      <c r="C65" s="105">
        <v>-7500</v>
      </c>
    </row>
    <row r="66" spans="2:6" hidden="1">
      <c r="B66" t="s">
        <v>88</v>
      </c>
      <c r="C66" s="105">
        <v>-7500</v>
      </c>
    </row>
    <row r="67" spans="2:6" hidden="1">
      <c r="B67" t="s">
        <v>89</v>
      </c>
      <c r="C67" s="109">
        <v>-944</v>
      </c>
    </row>
    <row r="68" spans="2:6" ht="14.4" hidden="1" thickBot="1">
      <c r="B68" s="158" t="s">
        <v>90</v>
      </c>
      <c r="C68" s="147">
        <v>-25401.83</v>
      </c>
      <c r="E68" s="148"/>
      <c r="F68" s="157" t="s">
        <v>30</v>
      </c>
    </row>
    <row r="69" spans="2:6" ht="30.75" hidden="1" customHeight="1" thickBot="1">
      <c r="B69" s="44" t="s">
        <v>258</v>
      </c>
      <c r="C69" s="107">
        <f>E60-F60+SUM(C62:C68)</f>
        <v>79472.060000000012</v>
      </c>
      <c r="E69" s="107">
        <f>C69+298509</f>
        <v>377981.06</v>
      </c>
      <c r="F69" s="107">
        <v>280317</v>
      </c>
    </row>
    <row r="70" spans="2:6" ht="27.75" hidden="1" customHeight="1"/>
    <row r="71" spans="2:6" hidden="1">
      <c r="B71" t="s">
        <v>91</v>
      </c>
      <c r="C71" s="111">
        <v>0</v>
      </c>
    </row>
    <row r="72" spans="2:6" hidden="1">
      <c r="B72" t="s">
        <v>92</v>
      </c>
      <c r="C72" s="105">
        <v>12000</v>
      </c>
    </row>
    <row r="73" spans="2:6" hidden="1">
      <c r="B73" t="s">
        <v>93</v>
      </c>
      <c r="C73" s="109">
        <v>-6496</v>
      </c>
    </row>
    <row r="74" spans="2:6" hidden="1">
      <c r="B74" s="158" t="s">
        <v>94</v>
      </c>
      <c r="C74" s="109">
        <v>-11596</v>
      </c>
      <c r="E74" s="148"/>
      <c r="F74" s="157"/>
    </row>
    <row r="75" spans="2:6" ht="14.4" hidden="1" thickBot="1">
      <c r="B75" s="158" t="s">
        <v>95</v>
      </c>
      <c r="C75" s="109">
        <f>19783.51-4975</f>
        <v>14808.509999999998</v>
      </c>
      <c r="E75" s="148"/>
      <c r="F75" s="157" t="s">
        <v>30</v>
      </c>
    </row>
    <row r="76" spans="2:6" ht="30.75" hidden="1" customHeight="1" thickBot="1">
      <c r="B76" s="44" t="s">
        <v>259</v>
      </c>
      <c r="C76" s="107">
        <f>E69-F69+SUM(C71:C75)</f>
        <v>106380.56999999999</v>
      </c>
      <c r="E76" s="107">
        <f>C76+F76</f>
        <v>306380.57</v>
      </c>
      <c r="F76" s="107">
        <v>200000</v>
      </c>
    </row>
    <row r="77" spans="2:6" ht="27.75" hidden="1" customHeight="1"/>
    <row r="78" spans="2:6" hidden="1">
      <c r="B78" t="s">
        <v>96</v>
      </c>
      <c r="C78" s="111">
        <v>-29950</v>
      </c>
    </row>
    <row r="79" spans="2:6" hidden="1">
      <c r="B79" t="s">
        <v>92</v>
      </c>
      <c r="C79" s="105">
        <v>6000</v>
      </c>
    </row>
    <row r="80" spans="2:6" hidden="1">
      <c r="B80" t="s">
        <v>97</v>
      </c>
      <c r="C80" s="109">
        <v>0</v>
      </c>
    </row>
    <row r="81" spans="2:6" ht="14.4" hidden="1" thickBot="1">
      <c r="B81" t="s">
        <v>253</v>
      </c>
      <c r="C81" s="109">
        <v>33048.75</v>
      </c>
      <c r="E81" s="148"/>
      <c r="F81" s="157" t="s">
        <v>30</v>
      </c>
    </row>
    <row r="82" spans="2:6" ht="30.75" hidden="1" customHeight="1" thickBot="1">
      <c r="B82" s="44" t="s">
        <v>260</v>
      </c>
      <c r="C82" s="107">
        <f>SUM(C76:C81)</f>
        <v>115479.31999999999</v>
      </c>
      <c r="E82" s="107">
        <f>C82+F82</f>
        <v>315479.32</v>
      </c>
      <c r="F82" s="107">
        <v>200000</v>
      </c>
    </row>
    <row r="83" spans="2:6" ht="27.75" hidden="1" customHeight="1"/>
    <row r="84" spans="2:6" hidden="1">
      <c r="B84" s="198" t="s">
        <v>256</v>
      </c>
      <c r="C84" s="111">
        <v>-32500</v>
      </c>
    </row>
    <row r="85" spans="2:6" hidden="1">
      <c r="B85" s="198" t="s">
        <v>257</v>
      </c>
      <c r="C85" s="199">
        <v>-2300.44</v>
      </c>
    </row>
    <row r="86" spans="2:6" hidden="1">
      <c r="B86" t="s">
        <v>261</v>
      </c>
      <c r="C86" s="199">
        <f>-12000+0</f>
        <v>-12000</v>
      </c>
    </row>
    <row r="87" spans="2:6" hidden="1">
      <c r="B87" t="s">
        <v>255</v>
      </c>
      <c r="C87" s="105">
        <v>0</v>
      </c>
    </row>
    <row r="88" spans="2:6" hidden="1">
      <c r="B88" s="158" t="s">
        <v>98</v>
      </c>
      <c r="C88" s="109">
        <v>0</v>
      </c>
    </row>
    <row r="89" spans="2:6" hidden="1">
      <c r="B89" t="s">
        <v>274</v>
      </c>
      <c r="C89" s="109">
        <f>76561.19-68678.88</f>
        <v>7882.3099999999977</v>
      </c>
    </row>
    <row r="90" spans="2:6" ht="14.4" hidden="1" thickBot="1">
      <c r="B90" s="158"/>
      <c r="C90" s="109">
        <v>0</v>
      </c>
      <c r="E90" s="148"/>
      <c r="F90" s="157" t="s">
        <v>30</v>
      </c>
    </row>
    <row r="91" spans="2:6" ht="30.75" hidden="1" customHeight="1" thickBot="1">
      <c r="B91" s="44" t="s">
        <v>283</v>
      </c>
      <c r="C91" s="107">
        <f>SUM(C82:C90)</f>
        <v>76561.189999999988</v>
      </c>
      <c r="E91" s="107">
        <f>C91+F91</f>
        <v>300561.19</v>
      </c>
      <c r="F91" s="107">
        <v>224000</v>
      </c>
    </row>
    <row r="92" spans="2:6" ht="27.75" hidden="1" customHeight="1"/>
    <row r="93" spans="2:6" hidden="1">
      <c r="B93" t="s">
        <v>254</v>
      </c>
      <c r="C93" s="111">
        <v>-15000</v>
      </c>
    </row>
    <row r="94" spans="2:6" hidden="1">
      <c r="B94" s="158" t="s">
        <v>289</v>
      </c>
      <c r="C94" s="111">
        <v>-26950</v>
      </c>
    </row>
    <row r="95" spans="2:6" hidden="1">
      <c r="C95" s="109">
        <v>0</v>
      </c>
    </row>
    <row r="96" spans="2:6" ht="14.4" hidden="1" thickBot="1">
      <c r="B96" t="s">
        <v>278</v>
      </c>
      <c r="C96" s="109">
        <v>35676.6</v>
      </c>
      <c r="E96" s="148"/>
      <c r="F96" s="157" t="s">
        <v>30</v>
      </c>
    </row>
    <row r="97" spans="2:6" ht="30.75" hidden="1" customHeight="1" thickBot="1">
      <c r="B97" s="44" t="s">
        <v>284</v>
      </c>
      <c r="C97" s="107">
        <f>SUM(C91:C96)</f>
        <v>70287.789999999979</v>
      </c>
      <c r="E97" s="107">
        <f>C97+F97</f>
        <v>294287.78999999998</v>
      </c>
      <c r="F97" s="107">
        <v>224000</v>
      </c>
    </row>
    <row r="98" spans="2:6" ht="27.75" hidden="1" customHeight="1"/>
    <row r="99" spans="2:6" hidden="1">
      <c r="B99" s="158" t="s">
        <v>282</v>
      </c>
      <c r="C99" s="111">
        <v>0</v>
      </c>
    </row>
    <row r="100" spans="2:6" hidden="1">
      <c r="B100" s="158" t="s">
        <v>286</v>
      </c>
      <c r="C100" s="109">
        <v>-7356.78</v>
      </c>
    </row>
    <row r="101" spans="2:6" ht="14.4" hidden="1" thickBot="1">
      <c r="B101" s="158"/>
      <c r="C101" s="109">
        <v>0</v>
      </c>
      <c r="E101" s="148"/>
      <c r="F101" s="157" t="s">
        <v>30</v>
      </c>
    </row>
    <row r="102" spans="2:6" ht="30" hidden="1" customHeight="1" thickBot="1">
      <c r="B102" s="44" t="s">
        <v>285</v>
      </c>
      <c r="C102" s="107">
        <f>SUM(C97:C101)</f>
        <v>62931.00999999998</v>
      </c>
      <c r="E102" s="107">
        <f>C102+F102</f>
        <v>286931.01</v>
      </c>
      <c r="F102" s="107">
        <v>224000</v>
      </c>
    </row>
    <row r="103" spans="2:6" ht="27.75" hidden="1" customHeight="1"/>
    <row r="104" spans="2:6" hidden="1">
      <c r="B104" s="158" t="s">
        <v>287</v>
      </c>
      <c r="C104" s="235">
        <v>0</v>
      </c>
    </row>
    <row r="105" spans="2:6" hidden="1">
      <c r="B105" s="158" t="s">
        <v>297</v>
      </c>
      <c r="C105" s="111">
        <v>0</v>
      </c>
      <c r="F105" s="224">
        <v>35990</v>
      </c>
    </row>
    <row r="106" spans="2:6" hidden="1">
      <c r="B106" s="158" t="s">
        <v>288</v>
      </c>
      <c r="C106" s="109">
        <v>25924.240000000002</v>
      </c>
    </row>
    <row r="107" spans="2:6" ht="14.4" hidden="1" thickBot="1">
      <c r="B107" s="158"/>
      <c r="C107" s="109">
        <v>0</v>
      </c>
      <c r="E107" s="148"/>
      <c r="F107" s="157" t="s">
        <v>30</v>
      </c>
    </row>
    <row r="108" spans="2:6" ht="30.75" hidden="1" customHeight="1" thickBot="1">
      <c r="B108" s="44" t="s">
        <v>295</v>
      </c>
      <c r="C108" s="107">
        <f>SUM(C102:C107)</f>
        <v>88855.249999999985</v>
      </c>
      <c r="E108" s="107">
        <f>C108+F108</f>
        <v>348845.25</v>
      </c>
      <c r="F108" s="107">
        <f>224000+35990</f>
        <v>259990</v>
      </c>
    </row>
    <row r="109" spans="2:6" ht="27" hidden="1" customHeight="1"/>
    <row r="110" spans="2:6" hidden="1">
      <c r="B110" s="158" t="s">
        <v>290</v>
      </c>
      <c r="C110" s="111">
        <v>35990</v>
      </c>
    </row>
    <row r="111" spans="2:6" hidden="1">
      <c r="B111" s="158" t="s">
        <v>296</v>
      </c>
      <c r="C111" s="111">
        <v>0</v>
      </c>
    </row>
    <row r="112" spans="2:6" hidden="1">
      <c r="B112" s="158" t="s">
        <v>291</v>
      </c>
      <c r="C112" s="109">
        <v>28913.82</v>
      </c>
    </row>
    <row r="113" spans="2:6" ht="14.4" hidden="1" thickBot="1">
      <c r="B113" s="158"/>
      <c r="C113" s="109">
        <v>0</v>
      </c>
      <c r="E113" s="148"/>
      <c r="F113" s="157" t="s">
        <v>30</v>
      </c>
    </row>
    <row r="114" spans="2:6" ht="30.75" hidden="1" customHeight="1" thickBot="1">
      <c r="B114" s="44" t="s">
        <v>321</v>
      </c>
      <c r="C114" s="249">
        <f>SUM(C108:C113)</f>
        <v>153759.06999999998</v>
      </c>
      <c r="E114" s="250">
        <f>C114+F114</f>
        <v>377759.06999999995</v>
      </c>
      <c r="F114" s="249">
        <v>224000</v>
      </c>
    </row>
    <row r="115" spans="2:6" ht="27" hidden="1" customHeight="1"/>
    <row r="116" spans="2:6" hidden="1">
      <c r="B116" s="158" t="s">
        <v>343</v>
      </c>
      <c r="C116" s="111">
        <v>-20500</v>
      </c>
    </row>
    <row r="117" spans="2:6" hidden="1">
      <c r="B117" s="158" t="s">
        <v>316</v>
      </c>
      <c r="C117" s="111">
        <v>-2500</v>
      </c>
    </row>
    <row r="118" spans="2:6" hidden="1">
      <c r="B118" s="158" t="s">
        <v>315</v>
      </c>
      <c r="C118" s="109">
        <v>-17948.490000000002</v>
      </c>
    </row>
    <row r="119" spans="2:6" ht="14.4" hidden="1" thickBot="1">
      <c r="B119" s="158"/>
      <c r="C119" s="109">
        <v>0</v>
      </c>
      <c r="E119" s="148"/>
      <c r="F119" s="157" t="s">
        <v>30</v>
      </c>
    </row>
    <row r="120" spans="2:6" ht="30.75" hidden="1" customHeight="1" thickBot="1">
      <c r="B120" s="44" t="s">
        <v>320</v>
      </c>
      <c r="C120" s="251">
        <f>SUM(C114:C119)</f>
        <v>112810.57999999997</v>
      </c>
      <c r="E120" s="252">
        <f>C120+F120</f>
        <v>336810.57999999996</v>
      </c>
      <c r="F120" s="251">
        <v>224000</v>
      </c>
    </row>
    <row r="121" spans="2:6" hidden="1"/>
    <row r="122" spans="2:6" hidden="1">
      <c r="B122" s="158" t="s">
        <v>319</v>
      </c>
      <c r="C122" s="111">
        <v>-65000</v>
      </c>
    </row>
    <row r="123" spans="2:6" hidden="1">
      <c r="B123" s="158" t="s">
        <v>301</v>
      </c>
      <c r="C123" s="111"/>
    </row>
    <row r="124" spans="2:6" hidden="1">
      <c r="B124" s="158" t="s">
        <v>302</v>
      </c>
      <c r="C124" s="109">
        <v>102937.97</v>
      </c>
    </row>
    <row r="125" spans="2:6" ht="14.4" hidden="1" thickBot="1">
      <c r="B125" s="158"/>
      <c r="C125" s="109">
        <v>0</v>
      </c>
      <c r="E125" s="148"/>
      <c r="F125" s="157" t="s">
        <v>30</v>
      </c>
    </row>
    <row r="126" spans="2:6" ht="30" customHeight="1" thickBot="1">
      <c r="B126" s="44" t="s">
        <v>346</v>
      </c>
      <c r="C126" s="255">
        <f>SUM(C120:C125)</f>
        <v>150748.54999999999</v>
      </c>
      <c r="E126" s="281">
        <f>C126+F126</f>
        <v>374748.55</v>
      </c>
      <c r="F126" s="255">
        <v>224000</v>
      </c>
    </row>
    <row r="128" spans="2:6">
      <c r="B128" s="158" t="s">
        <v>318</v>
      </c>
      <c r="C128" s="111">
        <v>-65000</v>
      </c>
    </row>
    <row r="129" spans="2:12">
      <c r="B129" s="158" t="s">
        <v>313</v>
      </c>
      <c r="C129" s="111">
        <v>0</v>
      </c>
    </row>
    <row r="130" spans="2:12">
      <c r="B130" s="158" t="s">
        <v>340</v>
      </c>
      <c r="C130" s="111">
        <v>76033.48</v>
      </c>
    </row>
    <row r="131" spans="2:12">
      <c r="B131" s="158" t="s">
        <v>314</v>
      </c>
      <c r="C131" s="109">
        <f>399901.27-390782.03</f>
        <v>9119.2399999999907</v>
      </c>
    </row>
    <row r="132" spans="2:12" ht="14.4" thickBot="1">
      <c r="B132" s="158"/>
      <c r="C132" s="109">
        <v>0</v>
      </c>
      <c r="E132" s="286" t="s">
        <v>349</v>
      </c>
      <c r="F132" s="287" t="s">
        <v>350</v>
      </c>
      <c r="L132" s="158" t="s">
        <v>362</v>
      </c>
    </row>
    <row r="133" spans="2:12" ht="30" customHeight="1" thickBot="1">
      <c r="B133" s="44" t="s">
        <v>347</v>
      </c>
      <c r="C133" s="255">
        <f>SUM(C126:C132)</f>
        <v>170901.26999999996</v>
      </c>
      <c r="E133" s="281">
        <f>C133+F133</f>
        <v>394901.26999999996</v>
      </c>
      <c r="F133" s="255">
        <v>224000</v>
      </c>
    </row>
    <row r="135" spans="2:12">
      <c r="B135" s="158" t="s">
        <v>317</v>
      </c>
      <c r="C135" s="111">
        <v>-60000</v>
      </c>
    </row>
    <row r="136" spans="2:12">
      <c r="B136" s="158" t="s">
        <v>341</v>
      </c>
      <c r="C136" s="111">
        <v>0</v>
      </c>
    </row>
    <row r="137" spans="2:12">
      <c r="B137" s="158" t="s">
        <v>342</v>
      </c>
      <c r="C137" s="111">
        <v>0</v>
      </c>
    </row>
    <row r="138" spans="2:12">
      <c r="B138" s="158" t="s">
        <v>339</v>
      </c>
      <c r="C138" s="111">
        <v>10394.68</v>
      </c>
    </row>
    <row r="139" spans="2:12" ht="14.4" thickBot="1">
      <c r="B139" s="158"/>
      <c r="C139" s="109">
        <v>0</v>
      </c>
      <c r="E139" s="286" t="s">
        <v>349</v>
      </c>
      <c r="F139" s="287" t="s">
        <v>350</v>
      </c>
    </row>
    <row r="140" spans="2:12" ht="30" customHeight="1" thickBot="1">
      <c r="B140" s="44" t="s">
        <v>359</v>
      </c>
      <c r="C140" s="253">
        <f>SUM(C133:C139)</f>
        <v>121295.94999999995</v>
      </c>
      <c r="E140" s="254">
        <f>C140+F140</f>
        <v>345295.94999999995</v>
      </c>
      <c r="F140" s="253">
        <v>224000</v>
      </c>
    </row>
    <row r="142" spans="2:12">
      <c r="B142" s="158" t="s">
        <v>338</v>
      </c>
      <c r="C142" s="111">
        <v>-65100</v>
      </c>
    </row>
    <row r="143" spans="2:12">
      <c r="B143" s="158" t="s">
        <v>344</v>
      </c>
      <c r="C143" s="111">
        <f>'2025 Preliminary budget'!E56*-1</f>
        <v>0</v>
      </c>
    </row>
    <row r="144" spans="2:12">
      <c r="B144" s="158" t="s">
        <v>401</v>
      </c>
      <c r="C144" s="111">
        <f>18000-3223</f>
        <v>14777</v>
      </c>
    </row>
    <row r="145" spans="2:6">
      <c r="B145" s="158" t="s">
        <v>345</v>
      </c>
      <c r="C145" s="108">
        <v>0</v>
      </c>
    </row>
    <row r="146" spans="2:6" ht="14.4" thickBot="1">
      <c r="B146" s="158"/>
      <c r="C146" s="109">
        <v>0</v>
      </c>
      <c r="E146" s="286" t="s">
        <v>349</v>
      </c>
      <c r="F146" s="287" t="s">
        <v>350</v>
      </c>
    </row>
    <row r="147" spans="2:6" ht="30.75" customHeight="1" thickBot="1">
      <c r="B147" s="44" t="s">
        <v>348</v>
      </c>
      <c r="C147" s="253">
        <f>SUM(C140:C146)</f>
        <v>70972.949999999953</v>
      </c>
      <c r="E147" s="254">
        <f>C147+F147</f>
        <v>294972.94999999995</v>
      </c>
      <c r="F147" s="253">
        <v>224000</v>
      </c>
    </row>
    <row r="149" spans="2:6">
      <c r="B149" s="158" t="s">
        <v>402</v>
      </c>
      <c r="C149" s="296">
        <v>-20000</v>
      </c>
    </row>
    <row r="150" spans="2:6">
      <c r="B150" s="158" t="s">
        <v>367</v>
      </c>
      <c r="C150" s="111">
        <f>'2025 Preliminary budget'!E63*-1</f>
        <v>0</v>
      </c>
    </row>
    <row r="151" spans="2:6">
      <c r="B151" s="158" t="s">
        <v>446</v>
      </c>
      <c r="C151" s="111">
        <v>16782</v>
      </c>
    </row>
    <row r="152" spans="2:6">
      <c r="B152" s="158" t="s">
        <v>368</v>
      </c>
      <c r="C152" s="108">
        <v>0</v>
      </c>
    </row>
    <row r="153" spans="2:6" ht="14.4" thickBot="1">
      <c r="B153" s="158"/>
      <c r="C153" s="109">
        <v>0</v>
      </c>
      <c r="E153" s="286" t="s">
        <v>349</v>
      </c>
      <c r="F153" s="287" t="s">
        <v>350</v>
      </c>
    </row>
    <row r="154" spans="2:6" ht="14.4" thickBot="1">
      <c r="B154" s="44" t="s">
        <v>369</v>
      </c>
      <c r="C154" s="253">
        <f>SUM(C147:C153)</f>
        <v>67754.949999999953</v>
      </c>
      <c r="E154" s="254">
        <f>C154+F154</f>
        <v>291754.94999999995</v>
      </c>
      <c r="F154" s="253">
        <v>224000</v>
      </c>
    </row>
    <row r="156" spans="2:6">
      <c r="B156" s="158" t="s">
        <v>442</v>
      </c>
      <c r="C156" s="296">
        <f>('2025 Preliminary budget'!H42)*-1</f>
        <v>-20000</v>
      </c>
    </row>
    <row r="157" spans="2:6">
      <c r="B157" s="158" t="s">
        <v>443</v>
      </c>
      <c r="C157" s="111">
        <f>'2025 Preliminary budget'!E70*-1</f>
        <v>0</v>
      </c>
    </row>
    <row r="158" spans="2:6">
      <c r="B158" s="158" t="s">
        <v>342</v>
      </c>
      <c r="C158" s="111">
        <v>0</v>
      </c>
    </row>
    <row r="159" spans="2:6">
      <c r="B159" s="158" t="s">
        <v>444</v>
      </c>
      <c r="C159" s="108">
        <v>0</v>
      </c>
    </row>
    <row r="160" spans="2:6" ht="14.4" thickBot="1"/>
    <row r="161" spans="2:6" ht="14.4" thickBot="1">
      <c r="B161" s="44" t="s">
        <v>445</v>
      </c>
      <c r="C161" s="253">
        <f>SUM(C154:C160)</f>
        <v>47754.949999999953</v>
      </c>
      <c r="E161" s="254">
        <f>C161+F161</f>
        <v>271754.94999999995</v>
      </c>
      <c r="F161" s="253">
        <v>224000</v>
      </c>
    </row>
  </sheetData>
  <phoneticPr fontId="0" type="noConversion"/>
  <printOptions horizontalCentered="1"/>
  <pageMargins left="0.36" right="0.35" top="0.98" bottom="0.6" header="0.47" footer="0.46"/>
  <pageSetup scale="78" orientation="portrait" horizontalDpi="4294967292" verticalDpi="4294967292" r:id="rId1"/>
  <headerFooter>
    <oddHeader>&amp;C2025 Preliminary MORE Budget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143"/>
  <sheetViews>
    <sheetView showRuler="0" zoomScaleNormal="100" workbookViewId="0"/>
  </sheetViews>
  <sheetFormatPr defaultColWidth="8.69921875" defaultRowHeight="13.8" outlineLevelRow="2"/>
  <cols>
    <col min="1" max="1" width="3.19921875" customWidth="1"/>
    <col min="2" max="2" width="1.3984375" customWidth="1"/>
    <col min="3" max="3" width="60.69921875" bestFit="1" customWidth="1"/>
    <col min="4" max="5" width="12.59765625" customWidth="1"/>
    <col min="6" max="6" width="9.5" customWidth="1"/>
    <col min="7" max="7" width="12.69921875" customWidth="1"/>
    <col min="8" max="8" width="10.8984375" customWidth="1"/>
    <col min="9" max="9" width="10.8984375" hidden="1" customWidth="1"/>
    <col min="10" max="11" width="10.59765625" customWidth="1"/>
  </cols>
  <sheetData>
    <row r="1" spans="1:12">
      <c r="A1" s="1" t="s">
        <v>412</v>
      </c>
    </row>
    <row r="2" spans="1:12">
      <c r="A2" s="54" t="s">
        <v>413</v>
      </c>
    </row>
    <row r="3" spans="1:12" ht="14.4" thickBot="1">
      <c r="A3" s="307">
        <v>45778</v>
      </c>
      <c r="B3" s="307"/>
      <c r="C3" s="307"/>
    </row>
    <row r="4" spans="1:12" ht="14.4" thickBot="1">
      <c r="C4" s="56" t="s">
        <v>414</v>
      </c>
      <c r="D4" s="65">
        <f>'2025 Preliminary budget'!H44</f>
        <v>1128999.7</v>
      </c>
      <c r="E4" s="67"/>
      <c r="F4" s="68"/>
      <c r="G4" s="68"/>
    </row>
    <row r="5" spans="1:12" ht="14.4" thickBot="1">
      <c r="C5" s="56" t="s">
        <v>415</v>
      </c>
      <c r="D5" s="65">
        <f>'MORE Formula w 3-yr Avg ''21-''23'!F5</f>
        <v>40750</v>
      </c>
      <c r="E5" s="67"/>
      <c r="F5" s="68"/>
      <c r="G5" s="68"/>
    </row>
    <row r="6" spans="1:12" ht="14.4" thickBot="1">
      <c r="C6" s="56" t="s">
        <v>416</v>
      </c>
      <c r="D6" s="65">
        <f>D4-D5</f>
        <v>1088249.7</v>
      </c>
      <c r="E6" s="67"/>
      <c r="F6" s="68"/>
      <c r="G6" s="68"/>
      <c r="J6" s="306"/>
      <c r="K6" s="306"/>
    </row>
    <row r="7" spans="1:12">
      <c r="B7" s="104" t="s">
        <v>417</v>
      </c>
      <c r="C7" s="104"/>
      <c r="D7" s="58"/>
      <c r="E7" s="207">
        <f>'MORE Formula w 3-yr Avg ''21-''23'!M2</f>
        <v>1750</v>
      </c>
      <c r="F7" s="207"/>
      <c r="H7" s="59"/>
      <c r="J7" s="306" t="s">
        <v>99</v>
      </c>
      <c r="K7" s="306"/>
    </row>
    <row r="8" spans="1:12" ht="14.4" thickBot="1">
      <c r="B8" s="104" t="s">
        <v>418</v>
      </c>
      <c r="C8" s="104"/>
      <c r="D8" s="58"/>
      <c r="E8" s="207">
        <f>'MORE Formula w 3-yr Avg ''21-''23'!M3</f>
        <v>15000</v>
      </c>
      <c r="H8" s="59"/>
      <c r="J8" s="141" t="s">
        <v>100</v>
      </c>
      <c r="K8" s="141" t="s">
        <v>101</v>
      </c>
    </row>
    <row r="9" spans="1:12" ht="26.25" customHeight="1" thickBot="1">
      <c r="A9" s="104" t="s">
        <v>102</v>
      </c>
      <c r="C9" s="57"/>
      <c r="D9" s="58"/>
      <c r="E9" s="59"/>
      <c r="F9" s="59"/>
      <c r="G9" s="59"/>
      <c r="J9" s="140">
        <f>'MORE Formula w 3-yr Avg ''21-''23'!H5</f>
        <v>231912.80000000002</v>
      </c>
      <c r="K9" s="140">
        <f>D6-J9</f>
        <v>856336.89999999991</v>
      </c>
    </row>
    <row r="10" spans="1:12" ht="63" customHeight="1" thickBot="1">
      <c r="A10" s="55" t="s">
        <v>103</v>
      </c>
      <c r="B10" s="64"/>
      <c r="C10" s="159" t="s">
        <v>104</v>
      </c>
      <c r="D10" s="149" t="s">
        <v>271</v>
      </c>
      <c r="E10" s="160" t="s">
        <v>272</v>
      </c>
      <c r="F10" s="161" t="s">
        <v>279</v>
      </c>
      <c r="G10" s="243" t="s">
        <v>311</v>
      </c>
      <c r="H10" s="146" t="s">
        <v>419</v>
      </c>
      <c r="I10" s="160" t="s">
        <v>105</v>
      </c>
      <c r="J10" s="149" t="s">
        <v>420</v>
      </c>
      <c r="K10" s="150" t="s">
        <v>421</v>
      </c>
    </row>
    <row r="11" spans="1:12" ht="16.350000000000001" customHeight="1">
      <c r="A11" s="123">
        <v>1</v>
      </c>
      <c r="B11" s="49"/>
      <c r="C11" s="162" t="s">
        <v>106</v>
      </c>
      <c r="D11" s="163">
        <f>'MORE Formula w 3-yr Avg ''21-''23'!K9</f>
        <v>4.2317969116669844E-2</v>
      </c>
      <c r="E11" s="164">
        <f>($D$6*D11)</f>
        <v>46052.517195825218</v>
      </c>
      <c r="F11" s="165">
        <f t="shared" ref="F11:F16" si="0">IF(E11&lt;($E$7*2),E11/2,$E$7)</f>
        <v>1750</v>
      </c>
      <c r="G11" s="167"/>
      <c r="H11" s="166">
        <f>E11-F11-G11</f>
        <v>44302.517195825218</v>
      </c>
      <c r="I11" s="167">
        <f>ROUND(D11*1000,0)</f>
        <v>42</v>
      </c>
      <c r="J11" s="168">
        <f>ROUND($J$9*D11,0)</f>
        <v>9814</v>
      </c>
      <c r="K11" s="168">
        <f>H11-J11</f>
        <v>34488.517195825218</v>
      </c>
      <c r="L11" t="s">
        <v>252</v>
      </c>
    </row>
    <row r="12" spans="1:12" ht="16.350000000000001" customHeight="1">
      <c r="A12" s="124">
        <v>2</v>
      </c>
      <c r="B12" s="48"/>
      <c r="C12" s="169" t="s">
        <v>107</v>
      </c>
      <c r="D12" s="163">
        <f>'MORE Formula w 3-yr Avg ''21-''23'!K12</f>
        <v>1.7313670729610542E-2</v>
      </c>
      <c r="E12" s="42">
        <f t="shared" ref="E12:E62" si="1">($D$6*D12)</f>
        <v>18841.596977397454</v>
      </c>
      <c r="F12" s="270">
        <f t="shared" si="0"/>
        <v>1750</v>
      </c>
      <c r="G12" s="244"/>
      <c r="H12" s="170">
        <f>E12-F12-G12</f>
        <v>17091.596977397454</v>
      </c>
      <c r="I12" s="142">
        <f t="shared" ref="I12:I57" si="2">ROUND(D12*1000,0)</f>
        <v>17</v>
      </c>
      <c r="J12" s="42">
        <f>ROUND($J$9*D12,0)</f>
        <v>4015</v>
      </c>
      <c r="K12" s="42">
        <f>H12-J12</f>
        <v>13076.596977397454</v>
      </c>
      <c r="L12" t="s">
        <v>252</v>
      </c>
    </row>
    <row r="13" spans="1:12" ht="16.350000000000001" customHeight="1">
      <c r="A13" s="124">
        <v>3</v>
      </c>
      <c r="B13" s="48"/>
      <c r="C13" s="169" t="s">
        <v>108</v>
      </c>
      <c r="D13" s="163">
        <f>'MORE Formula w 3-yr Avg ''21-''23'!K13</f>
        <v>8.0519245156763335E-3</v>
      </c>
      <c r="E13" s="42">
        <f t="shared" si="1"/>
        <v>8762.5044386074151</v>
      </c>
      <c r="F13" s="270">
        <f t="shared" si="0"/>
        <v>1750</v>
      </c>
      <c r="G13" s="244"/>
      <c r="H13" s="170">
        <f t="shared" ref="H13:H62" si="3">E13-F13-G13</f>
        <v>7012.5044386074151</v>
      </c>
      <c r="I13" s="142">
        <f t="shared" si="2"/>
        <v>8</v>
      </c>
      <c r="J13" s="42">
        <f t="shared" ref="J13:J62" si="4">ROUND($J$9*D13,0)</f>
        <v>1867</v>
      </c>
      <c r="K13" s="42">
        <f t="shared" ref="K13:K62" si="5">H13-J13</f>
        <v>5145.5044386074151</v>
      </c>
      <c r="L13" t="s">
        <v>252</v>
      </c>
    </row>
    <row r="14" spans="1:12" ht="16.350000000000001" customHeight="1">
      <c r="A14" s="124">
        <v>4</v>
      </c>
      <c r="B14" s="48"/>
      <c r="C14" s="169" t="s">
        <v>333</v>
      </c>
      <c r="D14" s="163">
        <f>'MORE Formula w 3-yr Avg ''21-''23'!K27</f>
        <v>5.2142920207995467E-3</v>
      </c>
      <c r="E14" s="42">
        <f>($D$6*D14)</f>
        <v>5674.4517273475003</v>
      </c>
      <c r="F14" s="270">
        <f>'MORE Formula w 3-yr Avg ''21-''23'!M27</f>
        <v>0</v>
      </c>
      <c r="G14" s="244"/>
      <c r="H14" s="170">
        <f>E14-F14-G14</f>
        <v>5674.4517273475003</v>
      </c>
      <c r="I14" s="289">
        <f>ROUND(D14*1000,0)</f>
        <v>5</v>
      </c>
      <c r="J14" s="42">
        <f>ROUND($J$9*D14,0)</f>
        <v>1209</v>
      </c>
      <c r="K14" s="42">
        <f>H14-J14</f>
        <v>4465.4517273475003</v>
      </c>
    </row>
    <row r="15" spans="1:12" ht="16.350000000000001" customHeight="1">
      <c r="A15" s="124">
        <v>5</v>
      </c>
      <c r="B15" s="48"/>
      <c r="C15" s="169" t="s">
        <v>109</v>
      </c>
      <c r="D15" s="163">
        <f>'MORE Formula w 3-yr Avg ''21-''23'!K28</f>
        <v>4.3980631700256045E-3</v>
      </c>
      <c r="E15" s="42">
        <f t="shared" si="1"/>
        <v>4786.1909253614131</v>
      </c>
      <c r="F15" s="270">
        <f t="shared" si="0"/>
        <v>1750</v>
      </c>
      <c r="G15" s="244"/>
      <c r="H15" s="170">
        <f t="shared" si="3"/>
        <v>3036.1909253614131</v>
      </c>
      <c r="I15" s="142">
        <f t="shared" si="2"/>
        <v>4</v>
      </c>
      <c r="J15" s="42">
        <f t="shared" si="4"/>
        <v>1020</v>
      </c>
      <c r="K15" s="42">
        <f t="shared" si="5"/>
        <v>2016.1909253614131</v>
      </c>
    </row>
    <row r="16" spans="1:12" ht="16.350000000000001" customHeight="1">
      <c r="A16" s="124">
        <v>6</v>
      </c>
      <c r="B16" s="48"/>
      <c r="C16" s="169" t="s">
        <v>110</v>
      </c>
      <c r="D16" s="163">
        <f>'MORE Formula w 3-yr Avg ''21-''23'!K29</f>
        <v>4.2217131279711148E-3</v>
      </c>
      <c r="E16" s="42">
        <f t="shared" si="1"/>
        <v>4594.2780450006267</v>
      </c>
      <c r="F16" s="270">
        <f t="shared" si="0"/>
        <v>1750</v>
      </c>
      <c r="G16" s="244"/>
      <c r="H16" s="170">
        <f t="shared" si="3"/>
        <v>2844.2780450006267</v>
      </c>
      <c r="I16" s="142">
        <f t="shared" si="2"/>
        <v>4</v>
      </c>
      <c r="J16" s="42">
        <f t="shared" si="4"/>
        <v>979</v>
      </c>
      <c r="K16" s="42">
        <f t="shared" si="5"/>
        <v>1865.2780450006267</v>
      </c>
    </row>
    <row r="17" spans="1:12" ht="16.350000000000001" customHeight="1">
      <c r="A17" s="124">
        <v>7</v>
      </c>
      <c r="B17" s="48"/>
      <c r="C17" s="169" t="s">
        <v>111</v>
      </c>
      <c r="D17" s="163">
        <f>'MORE Formula w 3-yr Avg ''21-''23'!K32</f>
        <v>1.7541369071130172E-2</v>
      </c>
      <c r="E17" s="42">
        <f t="shared" si="1"/>
        <v>19089.389629246689</v>
      </c>
      <c r="F17" s="270">
        <f t="shared" ref="F17:F62" si="6">IF(E17&lt;($E$7*2),E17/2,$E$7)</f>
        <v>1750</v>
      </c>
      <c r="G17" s="244"/>
      <c r="H17" s="170">
        <f t="shared" si="3"/>
        <v>17339.389629246689</v>
      </c>
      <c r="I17" s="142">
        <f t="shared" si="2"/>
        <v>18</v>
      </c>
      <c r="J17" s="42">
        <f t="shared" si="4"/>
        <v>4068</v>
      </c>
      <c r="K17" s="42">
        <f t="shared" si="5"/>
        <v>13271.389629246689</v>
      </c>
      <c r="L17" t="s">
        <v>252</v>
      </c>
    </row>
    <row r="18" spans="1:12" ht="16.350000000000001" customHeight="1">
      <c r="A18" s="124">
        <v>8</v>
      </c>
      <c r="B18" s="48"/>
      <c r="C18" s="169" t="s">
        <v>112</v>
      </c>
      <c r="D18" s="163">
        <f>'MORE Formula w 3-yr Avg ''21-''23'!K37</f>
        <v>4.6252968210523382E-3</v>
      </c>
      <c r="E18" s="42">
        <f t="shared" si="1"/>
        <v>5033.4778779211601</v>
      </c>
      <c r="F18" s="270">
        <f t="shared" si="6"/>
        <v>1750</v>
      </c>
      <c r="G18" s="244"/>
      <c r="H18" s="170">
        <f t="shared" si="3"/>
        <v>3283.4778779211601</v>
      </c>
      <c r="I18" s="142">
        <f t="shared" si="2"/>
        <v>5</v>
      </c>
      <c r="J18" s="42">
        <f t="shared" si="4"/>
        <v>1073</v>
      </c>
      <c r="K18" s="42">
        <f t="shared" si="5"/>
        <v>2210.4778779211601</v>
      </c>
    </row>
    <row r="19" spans="1:12" ht="16.350000000000001" customHeight="1">
      <c r="A19" s="124">
        <v>9</v>
      </c>
      <c r="B19" s="48"/>
      <c r="C19" s="169" t="s">
        <v>113</v>
      </c>
      <c r="D19" s="163">
        <f>'MORE Formula w 3-yr Avg ''21-''23'!K40</f>
        <v>5.1087608098625913E-2</v>
      </c>
      <c r="E19" s="42">
        <f t="shared" si="1"/>
        <v>55596.074187047219</v>
      </c>
      <c r="F19" s="270">
        <f t="shared" si="6"/>
        <v>1750</v>
      </c>
      <c r="G19" s="244"/>
      <c r="H19" s="170">
        <f t="shared" si="3"/>
        <v>53846.074187047219</v>
      </c>
      <c r="I19" s="142">
        <f t="shared" si="2"/>
        <v>51</v>
      </c>
      <c r="J19" s="42">
        <f t="shared" si="4"/>
        <v>11848</v>
      </c>
      <c r="K19" s="42">
        <f t="shared" si="5"/>
        <v>41998.074187047219</v>
      </c>
      <c r="L19" t="s">
        <v>252</v>
      </c>
    </row>
    <row r="20" spans="1:12" ht="16.350000000000001" customHeight="1">
      <c r="A20" s="124">
        <v>10</v>
      </c>
      <c r="B20" s="48"/>
      <c r="C20" s="169" t="s">
        <v>114</v>
      </c>
      <c r="D20" s="163">
        <f>'MORE Formula w 3-yr Avg ''21-''23'!K31</f>
        <v>0.15604004702667787</v>
      </c>
      <c r="E20" s="42">
        <f t="shared" si="1"/>
        <v>169810.53436476807</v>
      </c>
      <c r="F20" s="270">
        <f t="shared" si="6"/>
        <v>1750</v>
      </c>
      <c r="G20" s="244">
        <f>'MORE Formula w 3-yr Avg ''21-''23'!N31</f>
        <v>8219.9243595654152</v>
      </c>
      <c r="H20" s="170">
        <f t="shared" si="3"/>
        <v>159840.61000520264</v>
      </c>
      <c r="I20" s="142">
        <f t="shared" si="2"/>
        <v>156</v>
      </c>
      <c r="J20" s="42">
        <f t="shared" si="4"/>
        <v>36188</v>
      </c>
      <c r="K20" s="42">
        <f t="shared" si="5"/>
        <v>123652.61000520264</v>
      </c>
      <c r="L20" t="s">
        <v>252</v>
      </c>
    </row>
    <row r="21" spans="1:12" ht="16.350000000000001" customHeight="1">
      <c r="A21" s="124">
        <v>11</v>
      </c>
      <c r="B21" s="48"/>
      <c r="C21" s="169" t="s">
        <v>115</v>
      </c>
      <c r="D21" s="163">
        <f>'MORE Formula w 3-yr Avg ''21-''23'!K42</f>
        <v>8.7275844923488718E-3</v>
      </c>
      <c r="E21" s="42">
        <f t="shared" si="1"/>
        <v>9497.7912055233119</v>
      </c>
      <c r="F21" s="270">
        <f t="shared" si="6"/>
        <v>1750</v>
      </c>
      <c r="G21" s="244"/>
      <c r="H21" s="170">
        <f t="shared" si="3"/>
        <v>7747.7912055233119</v>
      </c>
      <c r="I21" s="142">
        <f t="shared" si="2"/>
        <v>9</v>
      </c>
      <c r="J21" s="42">
        <f t="shared" si="4"/>
        <v>2024</v>
      </c>
      <c r="K21" s="42">
        <f t="shared" si="5"/>
        <v>5723.7912055233119</v>
      </c>
    </row>
    <row r="22" spans="1:12" ht="16.350000000000001" customHeight="1">
      <c r="A22" s="124">
        <v>12</v>
      </c>
      <c r="B22" s="48"/>
      <c r="C22" s="169" t="s">
        <v>116</v>
      </c>
      <c r="D22" s="163">
        <f>'MORE Formula w 3-yr Avg ''21-''23'!K44</f>
        <v>7.9401664521345557E-3</v>
      </c>
      <c r="E22" s="42">
        <f t="shared" si="1"/>
        <v>8640.883759485494</v>
      </c>
      <c r="F22" s="270">
        <f t="shared" si="6"/>
        <v>1750</v>
      </c>
      <c r="G22" s="244"/>
      <c r="H22" s="170">
        <f t="shared" si="3"/>
        <v>6890.883759485494</v>
      </c>
      <c r="I22" s="142">
        <f t="shared" si="2"/>
        <v>8</v>
      </c>
      <c r="J22" s="42">
        <f t="shared" si="4"/>
        <v>1841</v>
      </c>
      <c r="K22" s="42">
        <f t="shared" si="5"/>
        <v>5049.883759485494</v>
      </c>
    </row>
    <row r="23" spans="1:12" ht="16.350000000000001" customHeight="1">
      <c r="A23" s="124">
        <v>13</v>
      </c>
      <c r="B23" s="48"/>
      <c r="C23" s="169" t="s">
        <v>117</v>
      </c>
      <c r="D23" s="163">
        <f>'MORE Formula w 3-yr Avg ''21-''23'!K45</f>
        <v>4.8068746311519216E-2</v>
      </c>
      <c r="E23" s="42">
        <f t="shared" si="1"/>
        <v>52310.798752886891</v>
      </c>
      <c r="F23" s="270">
        <f t="shared" si="6"/>
        <v>1750</v>
      </c>
      <c r="G23" s="244"/>
      <c r="H23" s="170">
        <f t="shared" si="3"/>
        <v>50560.798752886891</v>
      </c>
      <c r="I23" s="142">
        <f t="shared" si="2"/>
        <v>48</v>
      </c>
      <c r="J23" s="42">
        <f t="shared" si="4"/>
        <v>11148</v>
      </c>
      <c r="K23" s="42">
        <f t="shared" si="5"/>
        <v>39412.798752886891</v>
      </c>
      <c r="L23" t="s">
        <v>252</v>
      </c>
    </row>
    <row r="24" spans="1:12" ht="16.350000000000001" customHeight="1">
      <c r="A24" s="124">
        <v>14</v>
      </c>
      <c r="B24" s="48"/>
      <c r="C24" s="169" t="s">
        <v>118</v>
      </c>
      <c r="D24" s="163">
        <f>'MORE Formula w 3-yr Avg ''21-''23'!K47</f>
        <v>1.6616867335511182E-2</v>
      </c>
      <c r="E24" s="42">
        <f t="shared" si="1"/>
        <v>18083.300892809842</v>
      </c>
      <c r="F24" s="270">
        <f t="shared" si="6"/>
        <v>1750</v>
      </c>
      <c r="G24" s="244"/>
      <c r="H24" s="170">
        <f t="shared" si="3"/>
        <v>16333.300892809842</v>
      </c>
      <c r="I24" s="142">
        <f t="shared" si="2"/>
        <v>17</v>
      </c>
      <c r="J24" s="42">
        <f t="shared" si="4"/>
        <v>3854</v>
      </c>
      <c r="K24" s="42">
        <f t="shared" si="5"/>
        <v>12479.300892809842</v>
      </c>
      <c r="L24" t="s">
        <v>252</v>
      </c>
    </row>
    <row r="25" spans="1:12" ht="16.350000000000001" customHeight="1">
      <c r="A25" s="124">
        <v>15</v>
      </c>
      <c r="B25" s="48"/>
      <c r="C25" s="169" t="s">
        <v>119</v>
      </c>
      <c r="D25" s="163">
        <f>'MORE Formula w 3-yr Avg ''21-''23'!K48</f>
        <v>2.1118556485452866E-2</v>
      </c>
      <c r="E25" s="42">
        <f t="shared" si="1"/>
        <v>22982.262759727135</v>
      </c>
      <c r="F25" s="270">
        <f t="shared" si="6"/>
        <v>1750</v>
      </c>
      <c r="G25" s="244"/>
      <c r="H25" s="170">
        <f t="shared" si="3"/>
        <v>21232.262759727135</v>
      </c>
      <c r="I25" s="142">
        <f t="shared" si="2"/>
        <v>21</v>
      </c>
      <c r="J25" s="42">
        <f t="shared" si="4"/>
        <v>4898</v>
      </c>
      <c r="K25" s="42">
        <f t="shared" si="5"/>
        <v>16334.262759727135</v>
      </c>
    </row>
    <row r="26" spans="1:12" ht="16.350000000000001" customHeight="1">
      <c r="A26" s="124">
        <v>16</v>
      </c>
      <c r="B26" s="48"/>
      <c r="C26" s="169" t="s">
        <v>120</v>
      </c>
      <c r="D26" s="163"/>
      <c r="E26" s="42">
        <f t="shared" si="1"/>
        <v>0</v>
      </c>
      <c r="F26" s="270">
        <f t="shared" si="6"/>
        <v>0</v>
      </c>
      <c r="G26" s="244"/>
      <c r="H26" s="170">
        <f t="shared" si="3"/>
        <v>0</v>
      </c>
      <c r="I26" s="142">
        <f t="shared" si="2"/>
        <v>0</v>
      </c>
      <c r="J26" s="42">
        <f t="shared" si="4"/>
        <v>0</v>
      </c>
      <c r="K26" s="42">
        <f t="shared" si="5"/>
        <v>0</v>
      </c>
    </row>
    <row r="27" spans="1:12" ht="16.350000000000001" customHeight="1">
      <c r="A27" s="124">
        <v>17</v>
      </c>
      <c r="B27" s="48"/>
      <c r="C27" s="169" t="s">
        <v>121</v>
      </c>
      <c r="D27" s="163">
        <f>'MORE Formula w 3-yr Avg ''21-''23'!K52</f>
        <v>1.6187260974827717E-2</v>
      </c>
      <c r="E27" s="42">
        <f t="shared" si="1"/>
        <v>17615.781899677972</v>
      </c>
      <c r="F27" s="270">
        <f t="shared" si="6"/>
        <v>1750</v>
      </c>
      <c r="G27" s="244"/>
      <c r="H27" s="170">
        <f t="shared" si="3"/>
        <v>15865.781899677972</v>
      </c>
      <c r="I27" s="142">
        <f t="shared" si="2"/>
        <v>16</v>
      </c>
      <c r="J27" s="42">
        <f t="shared" si="4"/>
        <v>3754</v>
      </c>
      <c r="K27" s="42">
        <f t="shared" si="5"/>
        <v>12111.781899677972</v>
      </c>
      <c r="L27" t="s">
        <v>252</v>
      </c>
    </row>
    <row r="28" spans="1:12" ht="16.350000000000001" customHeight="1">
      <c r="A28" s="124">
        <v>18</v>
      </c>
      <c r="B28" s="48"/>
      <c r="C28" s="169" t="s">
        <v>122</v>
      </c>
      <c r="D28" s="163">
        <f>'MORE Formula w 3-yr Avg ''21-''23'!K54</f>
        <v>6.3011333801121769E-2</v>
      </c>
      <c r="E28" s="42">
        <f t="shared" si="1"/>
        <v>68572.065105670627</v>
      </c>
      <c r="F28" s="270">
        <f t="shared" si="6"/>
        <v>1750</v>
      </c>
      <c r="G28" s="244">
        <f>'MORE Formula w 3-yr Avg ''21-''23'!N54</f>
        <v>3319.3299252979314</v>
      </c>
      <c r="H28" s="170">
        <f t="shared" si="3"/>
        <v>63502.735180372692</v>
      </c>
      <c r="I28" s="142">
        <f t="shared" si="2"/>
        <v>63</v>
      </c>
      <c r="J28" s="42">
        <f t="shared" si="4"/>
        <v>14613</v>
      </c>
      <c r="K28" s="42">
        <f t="shared" si="5"/>
        <v>48889.735180372692</v>
      </c>
      <c r="L28" t="s">
        <v>252</v>
      </c>
    </row>
    <row r="29" spans="1:12" ht="16.350000000000001" customHeight="1">
      <c r="A29" s="124">
        <v>19</v>
      </c>
      <c r="B29" s="48"/>
      <c r="C29" s="169" t="s">
        <v>123</v>
      </c>
      <c r="D29" s="163">
        <f>'MORE Formula w 3-yr Avg ''21-''23'!K57</f>
        <v>1.5418895244822187E-2</v>
      </c>
      <c r="E29" s="42">
        <f t="shared" si="1"/>
        <v>16779.60812450917</v>
      </c>
      <c r="F29" s="270">
        <f t="shared" si="6"/>
        <v>1750</v>
      </c>
      <c r="G29" s="244"/>
      <c r="H29" s="170">
        <f t="shared" si="3"/>
        <v>15029.60812450917</v>
      </c>
      <c r="I29" s="142">
        <f t="shared" si="2"/>
        <v>15</v>
      </c>
      <c r="J29" s="42">
        <f t="shared" si="4"/>
        <v>3576</v>
      </c>
      <c r="K29" s="42">
        <f t="shared" si="5"/>
        <v>11453.60812450917</v>
      </c>
      <c r="L29" s="158" t="s">
        <v>252</v>
      </c>
    </row>
    <row r="30" spans="1:12" ht="16.350000000000001" customHeight="1">
      <c r="A30" s="124">
        <v>20</v>
      </c>
      <c r="B30" s="48"/>
      <c r="C30" s="169" t="s">
        <v>124</v>
      </c>
      <c r="D30" s="163">
        <f>'MORE Formula w 3-yr Avg ''21-''23'!K62</f>
        <v>7.9285491898121261E-3</v>
      </c>
      <c r="E30" s="42">
        <f t="shared" si="1"/>
        <v>8628.2412772482894</v>
      </c>
      <c r="F30" s="270">
        <f t="shared" si="6"/>
        <v>1750</v>
      </c>
      <c r="G30" s="244"/>
      <c r="H30" s="170">
        <f t="shared" si="3"/>
        <v>6878.2412772482894</v>
      </c>
      <c r="I30" s="142">
        <f t="shared" si="2"/>
        <v>8</v>
      </c>
      <c r="J30" s="42">
        <f t="shared" si="4"/>
        <v>1839</v>
      </c>
      <c r="K30" s="42">
        <f t="shared" si="5"/>
        <v>5039.2412772482894</v>
      </c>
    </row>
    <row r="31" spans="1:12" ht="16.350000000000001" customHeight="1">
      <c r="A31" s="124">
        <v>21</v>
      </c>
      <c r="B31" s="48"/>
      <c r="C31" s="169" t="s">
        <v>125</v>
      </c>
      <c r="D31" s="163">
        <f>'MORE Formula w 3-yr Avg ''21-''23'!K16</f>
        <v>7.7521991477576364E-3</v>
      </c>
      <c r="E31" s="42">
        <f t="shared" si="1"/>
        <v>8436.3283968875039</v>
      </c>
      <c r="F31" s="270">
        <f t="shared" si="6"/>
        <v>1750</v>
      </c>
      <c r="G31" s="244"/>
      <c r="H31" s="170">
        <f t="shared" si="3"/>
        <v>6686.3283968875039</v>
      </c>
      <c r="I31" s="142">
        <f t="shared" si="2"/>
        <v>8</v>
      </c>
      <c r="J31" s="42">
        <f t="shared" si="4"/>
        <v>1798</v>
      </c>
      <c r="K31" s="42">
        <f t="shared" si="5"/>
        <v>4888.3283968875039</v>
      </c>
    </row>
    <row r="32" spans="1:12" ht="16.350000000000001" customHeight="1">
      <c r="A32" s="124">
        <v>22</v>
      </c>
      <c r="B32" s="48"/>
      <c r="C32" s="169" t="s">
        <v>126</v>
      </c>
      <c r="D32" s="163">
        <f>'MORE Formula w 3-yr Avg ''21-''23'!K24</f>
        <v>9.956458500815531E-3</v>
      </c>
      <c r="E32" s="42">
        <f t="shared" si="1"/>
        <v>10835.11297657495</v>
      </c>
      <c r="F32" s="270">
        <f t="shared" si="6"/>
        <v>1750</v>
      </c>
      <c r="G32" s="244"/>
      <c r="H32" s="170">
        <f t="shared" si="3"/>
        <v>9085.1129765749502</v>
      </c>
      <c r="I32" s="142">
        <f t="shared" si="2"/>
        <v>10</v>
      </c>
      <c r="J32" s="42">
        <f t="shared" si="4"/>
        <v>2309</v>
      </c>
      <c r="K32" s="42">
        <f t="shared" si="5"/>
        <v>6776.1129765749502</v>
      </c>
    </row>
    <row r="33" spans="1:12" ht="16.350000000000001" customHeight="1">
      <c r="A33" s="124">
        <v>23</v>
      </c>
      <c r="B33" s="48"/>
      <c r="C33" s="169" t="s">
        <v>127</v>
      </c>
      <c r="D33" s="163">
        <f>'MORE Formula w 3-yr Avg ''21-''23'!K23</f>
        <v>9.221085795805703E-3</v>
      </c>
      <c r="E33" s="42">
        <f t="shared" si="1"/>
        <v>10034.843850959816</v>
      </c>
      <c r="F33" s="270">
        <f t="shared" si="6"/>
        <v>1750</v>
      </c>
      <c r="G33" s="244"/>
      <c r="H33" s="170">
        <f t="shared" si="3"/>
        <v>8284.8438509598163</v>
      </c>
      <c r="I33" s="142">
        <f t="shared" si="2"/>
        <v>9</v>
      </c>
      <c r="J33" s="42">
        <f t="shared" si="4"/>
        <v>2138</v>
      </c>
      <c r="K33" s="42">
        <f t="shared" si="5"/>
        <v>6146.8438509598163</v>
      </c>
    </row>
    <row r="34" spans="1:12" ht="16.350000000000001" customHeight="1">
      <c r="A34" s="124">
        <v>24</v>
      </c>
      <c r="B34" s="48"/>
      <c r="C34" s="169" t="s">
        <v>128</v>
      </c>
      <c r="D34" s="163">
        <f>'MORE Formula w 3-yr Avg ''21-''23'!K20</f>
        <v>3.663387500755122E-3</v>
      </c>
      <c r="E34" s="42">
        <f t="shared" si="1"/>
        <v>3986.6803486805111</v>
      </c>
      <c r="F34" s="270">
        <f t="shared" si="6"/>
        <v>1750</v>
      </c>
      <c r="G34" s="244"/>
      <c r="H34" s="170">
        <f t="shared" si="3"/>
        <v>2236.6803486805111</v>
      </c>
      <c r="I34" s="142">
        <f t="shared" si="2"/>
        <v>4</v>
      </c>
      <c r="J34" s="42">
        <f t="shared" si="4"/>
        <v>850</v>
      </c>
      <c r="K34" s="42">
        <f t="shared" si="5"/>
        <v>1386.6803486805111</v>
      </c>
    </row>
    <row r="35" spans="1:12" ht="16.350000000000001" customHeight="1">
      <c r="A35" s="124">
        <v>25</v>
      </c>
      <c r="B35" s="48"/>
      <c r="C35" s="169" t="s">
        <v>129</v>
      </c>
      <c r="D35" s="163">
        <f>'MORE Formula w 3-yr Avg ''21-''23'!K36</f>
        <v>9.4843329600319704E-3</v>
      </c>
      <c r="E35" s="42">
        <f t="shared" si="1"/>
        <v>10321.322498454903</v>
      </c>
      <c r="F35" s="270">
        <f t="shared" si="6"/>
        <v>1750</v>
      </c>
      <c r="G35" s="244"/>
      <c r="H35" s="170">
        <f t="shared" si="3"/>
        <v>8571.3224984549033</v>
      </c>
      <c r="I35" s="142">
        <f t="shared" si="2"/>
        <v>9</v>
      </c>
      <c r="J35" s="42">
        <f t="shared" si="4"/>
        <v>2200</v>
      </c>
      <c r="K35" s="42">
        <f t="shared" si="5"/>
        <v>6371.3224984549033</v>
      </c>
    </row>
    <row r="36" spans="1:12" ht="16.350000000000001" customHeight="1">
      <c r="A36" s="124">
        <v>26</v>
      </c>
      <c r="B36" s="48"/>
      <c r="C36" s="169" t="s">
        <v>130</v>
      </c>
      <c r="D36" s="163">
        <f>'MORE Formula w 3-yr Avg ''21-''23'!K43</f>
        <v>5.6117185648498817E-2</v>
      </c>
      <c r="E36" s="42">
        <f t="shared" si="1"/>
        <v>61069.510446823144</v>
      </c>
      <c r="F36" s="270">
        <f t="shared" si="6"/>
        <v>1750</v>
      </c>
      <c r="G36" s="244"/>
      <c r="H36" s="170">
        <f t="shared" si="3"/>
        <v>59319.510446823144</v>
      </c>
      <c r="I36" s="142">
        <f t="shared" si="2"/>
        <v>56</v>
      </c>
      <c r="J36" s="42">
        <f t="shared" si="4"/>
        <v>13014</v>
      </c>
      <c r="K36" s="42">
        <f t="shared" si="5"/>
        <v>46305.510446823144</v>
      </c>
      <c r="L36" t="s">
        <v>252</v>
      </c>
    </row>
    <row r="37" spans="1:12" ht="16.350000000000001" customHeight="1">
      <c r="A37" s="124">
        <v>27</v>
      </c>
      <c r="B37" s="48"/>
      <c r="C37" s="169" t="s">
        <v>131</v>
      </c>
      <c r="D37" s="163">
        <f>'MORE Formula w 3-yr Avg ''21-''23'!K49</f>
        <v>5.8114193041724563E-3</v>
      </c>
      <c r="E37" s="42">
        <f t="shared" si="1"/>
        <v>6324.2753143398841</v>
      </c>
      <c r="F37" s="270">
        <f t="shared" si="6"/>
        <v>1750</v>
      </c>
      <c r="G37" s="244"/>
      <c r="H37" s="170">
        <f t="shared" si="3"/>
        <v>4574.2753143398841</v>
      </c>
      <c r="I37" s="142">
        <f t="shared" si="2"/>
        <v>6</v>
      </c>
      <c r="J37" s="42">
        <f t="shared" si="4"/>
        <v>1348</v>
      </c>
      <c r="K37" s="42">
        <f t="shared" si="5"/>
        <v>3226.2753143398841</v>
      </c>
      <c r="L37" t="s">
        <v>252</v>
      </c>
    </row>
    <row r="38" spans="1:12" ht="16.350000000000001" customHeight="1">
      <c r="A38" s="124">
        <v>28</v>
      </c>
      <c r="B38" s="48"/>
      <c r="C38" s="169" t="s">
        <v>132</v>
      </c>
      <c r="D38" s="163">
        <f>'MORE Formula w 3-yr Avg ''21-''23'!K59</f>
        <v>1.3661203455438505E-2</v>
      </c>
      <c r="E38" s="42">
        <f t="shared" si="1"/>
        <v>14866.800562019916</v>
      </c>
      <c r="F38" s="270">
        <f t="shared" si="6"/>
        <v>1750</v>
      </c>
      <c r="G38" s="244"/>
      <c r="H38" s="170">
        <f t="shared" si="3"/>
        <v>13116.800562019916</v>
      </c>
      <c r="I38" s="142">
        <f t="shared" si="2"/>
        <v>14</v>
      </c>
      <c r="J38" s="42">
        <f t="shared" si="4"/>
        <v>3168</v>
      </c>
      <c r="K38" s="42">
        <f t="shared" si="5"/>
        <v>9948.8005620199165</v>
      </c>
      <c r="L38" t="s">
        <v>252</v>
      </c>
    </row>
    <row r="39" spans="1:12" ht="16.350000000000001" customHeight="1">
      <c r="A39" s="124">
        <v>29</v>
      </c>
      <c r="B39" s="48"/>
      <c r="C39" s="169" t="s">
        <v>133</v>
      </c>
      <c r="D39" s="163">
        <f>'MORE Formula w 3-yr Avg ''21-''23'!K22</f>
        <v>6.5695850778588916E-2</v>
      </c>
      <c r="E39" s="42">
        <f t="shared" si="1"/>
        <v>71493.489901044144</v>
      </c>
      <c r="F39" s="270">
        <f t="shared" si="6"/>
        <v>1750</v>
      </c>
      <c r="G39" s="244">
        <f>'MORE Formula w 3-yr Avg ''21-''23'!N22</f>
        <v>3460.7457151366543</v>
      </c>
      <c r="H39" s="170">
        <f t="shared" si="3"/>
        <v>66282.74418590749</v>
      </c>
      <c r="I39" s="142">
        <f t="shared" si="2"/>
        <v>66</v>
      </c>
      <c r="J39" s="42">
        <f t="shared" si="4"/>
        <v>15236</v>
      </c>
      <c r="K39" s="42">
        <f t="shared" si="5"/>
        <v>51046.74418590749</v>
      </c>
      <c r="L39" t="s">
        <v>252</v>
      </c>
    </row>
    <row r="40" spans="1:12" ht="16.350000000000001" customHeight="1">
      <c r="A40" s="124">
        <v>30</v>
      </c>
      <c r="B40" s="48"/>
      <c r="C40" s="169" t="s">
        <v>134</v>
      </c>
      <c r="D40" s="163">
        <f>'MORE Formula w 3-yr Avg ''21-''23'!K55</f>
        <v>1.8834835058109546E-2</v>
      </c>
      <c r="E40" s="42">
        <f t="shared" si="1"/>
        <v>20497.003601537195</v>
      </c>
      <c r="F40" s="270">
        <f t="shared" si="6"/>
        <v>1750</v>
      </c>
      <c r="G40" s="244"/>
      <c r="H40" s="170">
        <f t="shared" si="3"/>
        <v>18747.003601537195</v>
      </c>
      <c r="I40" s="142">
        <f t="shared" si="2"/>
        <v>19</v>
      </c>
      <c r="J40" s="42">
        <f t="shared" si="4"/>
        <v>4368</v>
      </c>
      <c r="K40" s="42">
        <f t="shared" si="5"/>
        <v>14379.003601537195</v>
      </c>
      <c r="L40" t="s">
        <v>252</v>
      </c>
    </row>
    <row r="41" spans="1:12" ht="16.350000000000001" customHeight="1">
      <c r="A41" s="124">
        <v>31</v>
      </c>
      <c r="B41" s="48"/>
      <c r="C41" s="169" t="s">
        <v>135</v>
      </c>
      <c r="D41" s="163">
        <f>'MORE Formula w 3-yr Avg ''21-''23'!K35</f>
        <v>8.5312527590998017E-3</v>
      </c>
      <c r="E41" s="42">
        <f t="shared" si="1"/>
        <v>9284.1332557145306</v>
      </c>
      <c r="F41" s="270">
        <f t="shared" si="6"/>
        <v>1750</v>
      </c>
      <c r="G41" s="244"/>
      <c r="H41" s="170">
        <f t="shared" si="3"/>
        <v>7534.1332557145306</v>
      </c>
      <c r="I41" s="142">
        <f t="shared" si="2"/>
        <v>9</v>
      </c>
      <c r="J41" s="42">
        <f t="shared" si="4"/>
        <v>1979</v>
      </c>
      <c r="K41" s="42">
        <f t="shared" si="5"/>
        <v>5555.1332557145306</v>
      </c>
      <c r="L41" t="s">
        <v>252</v>
      </c>
    </row>
    <row r="42" spans="1:12" ht="16.350000000000001" customHeight="1">
      <c r="A42" s="124">
        <v>32</v>
      </c>
      <c r="B42" s="48"/>
      <c r="C42" s="169" t="s">
        <v>136</v>
      </c>
      <c r="D42" s="163">
        <f>'MORE Formula w 3-yr Avg ''21-''23'!K58</f>
        <v>8.6548604302104579E-3</v>
      </c>
      <c r="E42" s="42">
        <f t="shared" si="1"/>
        <v>9418.6492667184011</v>
      </c>
      <c r="F42" s="270">
        <f t="shared" si="6"/>
        <v>1750</v>
      </c>
      <c r="G42" s="244"/>
      <c r="H42" s="170">
        <f t="shared" si="3"/>
        <v>7668.6492667184011</v>
      </c>
      <c r="I42" s="142">
        <f t="shared" si="2"/>
        <v>9</v>
      </c>
      <c r="J42" s="42">
        <f t="shared" si="4"/>
        <v>2007</v>
      </c>
      <c r="K42" s="42">
        <f t="shared" si="5"/>
        <v>5661.6492667184011</v>
      </c>
      <c r="L42" t="s">
        <v>252</v>
      </c>
    </row>
    <row r="43" spans="1:12" ht="16.350000000000001" customHeight="1">
      <c r="A43" s="124">
        <v>33</v>
      </c>
      <c r="B43" s="48"/>
      <c r="C43" s="169" t="s">
        <v>137</v>
      </c>
      <c r="D43" s="163">
        <f>'MORE Formula w 3-yr Avg ''21-''23'!K33</f>
        <v>4.4364001356896237E-3</v>
      </c>
      <c r="E43" s="42">
        <f t="shared" si="1"/>
        <v>4827.9111167441924</v>
      </c>
      <c r="F43" s="270">
        <f t="shared" si="6"/>
        <v>1750</v>
      </c>
      <c r="G43" s="244"/>
      <c r="H43" s="170">
        <f t="shared" si="3"/>
        <v>3077.9111167441924</v>
      </c>
      <c r="I43" s="142">
        <f t="shared" si="2"/>
        <v>4</v>
      </c>
      <c r="J43" s="42">
        <f t="shared" si="4"/>
        <v>1029</v>
      </c>
      <c r="K43" s="42">
        <f t="shared" si="5"/>
        <v>2048.9111167441924</v>
      </c>
    </row>
    <row r="44" spans="1:12" ht="16.350000000000001" customHeight="1">
      <c r="A44" s="124">
        <v>34</v>
      </c>
      <c r="B44" s="48"/>
      <c r="C44" s="169" t="s">
        <v>138</v>
      </c>
      <c r="D44" s="163">
        <f>'MORE Formula w 3-yr Avg ''21-''23'!K38</f>
        <v>1.279409099569232E-2</v>
      </c>
      <c r="E44" s="42">
        <f t="shared" si="1"/>
        <v>13923.165687834868</v>
      </c>
      <c r="F44" s="270">
        <f t="shared" si="6"/>
        <v>1750</v>
      </c>
      <c r="G44" s="244"/>
      <c r="H44" s="170">
        <f t="shared" si="3"/>
        <v>12173.165687834868</v>
      </c>
      <c r="I44" s="142">
        <f t="shared" si="2"/>
        <v>13</v>
      </c>
      <c r="J44" s="42">
        <f t="shared" si="4"/>
        <v>2967</v>
      </c>
      <c r="K44" s="42">
        <f t="shared" si="5"/>
        <v>9206.1656878348676</v>
      </c>
    </row>
    <row r="45" spans="1:12" ht="16.350000000000001" customHeight="1">
      <c r="A45" s="124">
        <v>35</v>
      </c>
      <c r="B45" s="48"/>
      <c r="C45" s="169" t="s">
        <v>139</v>
      </c>
      <c r="D45" s="163">
        <f>'MORE Formula w 3-yr Avg ''21-''23'!K53</f>
        <v>3.6711943010357954E-2</v>
      </c>
      <c r="E45" s="42">
        <f t="shared" si="1"/>
        <v>39951.760967439142</v>
      </c>
      <c r="F45" s="270">
        <f t="shared" si="6"/>
        <v>1750</v>
      </c>
      <c r="G45" s="244"/>
      <c r="H45" s="170">
        <f t="shared" si="3"/>
        <v>38201.760967439142</v>
      </c>
      <c r="I45" s="142">
        <f t="shared" si="2"/>
        <v>37</v>
      </c>
      <c r="J45" s="42">
        <f t="shared" si="4"/>
        <v>8514</v>
      </c>
      <c r="K45" s="42">
        <f t="shared" si="5"/>
        <v>29687.760967439142</v>
      </c>
      <c r="L45" t="s">
        <v>252</v>
      </c>
    </row>
    <row r="46" spans="1:12" ht="17.100000000000001" customHeight="1">
      <c r="A46" s="125">
        <v>36</v>
      </c>
      <c r="B46" s="50"/>
      <c r="C46" s="139" t="s">
        <v>140</v>
      </c>
      <c r="D46" s="163">
        <f>'MORE Formula w 3-yr Avg ''21-''23'!K21</f>
        <v>1.0837744020595083E-2</v>
      </c>
      <c r="E46" s="42">
        <f t="shared" si="1"/>
        <v>11794.171679089392</v>
      </c>
      <c r="F46" s="270">
        <f t="shared" si="6"/>
        <v>1750</v>
      </c>
      <c r="G46" s="245"/>
      <c r="H46" s="170">
        <f t="shared" si="3"/>
        <v>10044.171679089392</v>
      </c>
      <c r="I46" s="142">
        <f t="shared" si="2"/>
        <v>11</v>
      </c>
      <c r="J46" s="42">
        <f t="shared" si="4"/>
        <v>2513</v>
      </c>
      <c r="K46" s="42">
        <f t="shared" si="5"/>
        <v>7531.1716790893915</v>
      </c>
    </row>
    <row r="47" spans="1:12" ht="17.100000000000001" customHeight="1">
      <c r="A47" s="125">
        <v>37</v>
      </c>
      <c r="B47" s="50"/>
      <c r="C47" s="139" t="s">
        <v>141</v>
      </c>
      <c r="D47" s="163">
        <f>'MORE Formula w 3-yr Avg ''21-''23'!K11</f>
        <v>8.0793412547572694E-3</v>
      </c>
      <c r="E47" s="42">
        <f t="shared" si="1"/>
        <v>8792.3406966872208</v>
      </c>
      <c r="F47" s="270">
        <f t="shared" si="6"/>
        <v>1750</v>
      </c>
      <c r="G47" s="245"/>
      <c r="H47" s="170">
        <f t="shared" si="3"/>
        <v>7042.3406966872208</v>
      </c>
      <c r="I47" s="142">
        <f t="shared" si="2"/>
        <v>8</v>
      </c>
      <c r="J47" s="42">
        <f t="shared" si="4"/>
        <v>1874</v>
      </c>
      <c r="K47" s="42">
        <f t="shared" si="5"/>
        <v>5168.3406966872208</v>
      </c>
    </row>
    <row r="48" spans="1:12" ht="17.100000000000001" customHeight="1">
      <c r="A48" s="125">
        <v>38</v>
      </c>
      <c r="B48" s="50"/>
      <c r="C48" s="139" t="s">
        <v>142</v>
      </c>
      <c r="D48" s="163">
        <f>'MORE Formula w 3-yr Avg ''21-''23'!K18</f>
        <v>6.8848543427650014E-3</v>
      </c>
      <c r="E48" s="42">
        <f t="shared" si="1"/>
        <v>7492.4406730577093</v>
      </c>
      <c r="F48" s="270">
        <f t="shared" si="6"/>
        <v>1750</v>
      </c>
      <c r="G48" s="245"/>
      <c r="H48" s="170">
        <f t="shared" si="3"/>
        <v>5742.4406730577093</v>
      </c>
      <c r="I48" s="142">
        <f t="shared" si="2"/>
        <v>7</v>
      </c>
      <c r="J48" s="42">
        <f t="shared" si="4"/>
        <v>1597</v>
      </c>
      <c r="K48" s="42">
        <f t="shared" si="5"/>
        <v>4145.4406730577093</v>
      </c>
    </row>
    <row r="49" spans="1:12" ht="17.100000000000001" customHeight="1">
      <c r="A49" s="125">
        <v>39</v>
      </c>
      <c r="B49" s="50"/>
      <c r="C49" s="139" t="s">
        <v>143</v>
      </c>
      <c r="D49" s="163">
        <f>'MORE Formula w 3-yr Avg ''21-''23'!K51</f>
        <v>8.3095953939878349E-3</v>
      </c>
      <c r="E49" s="42">
        <f t="shared" si="1"/>
        <v>9042.9146946286419</v>
      </c>
      <c r="F49" s="270">
        <f t="shared" si="6"/>
        <v>1750</v>
      </c>
      <c r="G49" s="245"/>
      <c r="H49" s="170">
        <f t="shared" si="3"/>
        <v>7292.9146946286419</v>
      </c>
      <c r="I49" s="142">
        <f t="shared" si="2"/>
        <v>8</v>
      </c>
      <c r="J49" s="42">
        <f t="shared" si="4"/>
        <v>1927</v>
      </c>
      <c r="K49" s="42">
        <f t="shared" si="5"/>
        <v>5365.9146946286419</v>
      </c>
    </row>
    <row r="50" spans="1:12" ht="17.100000000000001" customHeight="1">
      <c r="A50" s="125">
        <v>40</v>
      </c>
      <c r="B50" s="50"/>
      <c r="C50" s="139" t="s">
        <v>144</v>
      </c>
      <c r="D50" s="163">
        <f>'MORE Formula w 3-yr Avg ''21-''23'!K50</f>
        <v>1.3731604065112432E-2</v>
      </c>
      <c r="E50" s="42">
        <f t="shared" si="1"/>
        <v>14943.414004377384</v>
      </c>
      <c r="F50" s="270">
        <f t="shared" si="6"/>
        <v>1750</v>
      </c>
      <c r="G50" s="245"/>
      <c r="H50" s="170">
        <f t="shared" si="3"/>
        <v>13193.414004377384</v>
      </c>
      <c r="I50" s="142">
        <f t="shared" si="2"/>
        <v>14</v>
      </c>
      <c r="J50" s="42">
        <f t="shared" si="4"/>
        <v>3185</v>
      </c>
      <c r="K50" s="42">
        <f t="shared" si="5"/>
        <v>10008.414004377384</v>
      </c>
    </row>
    <row r="51" spans="1:12" ht="17.100000000000001" customHeight="1">
      <c r="A51" s="125">
        <v>41</v>
      </c>
      <c r="B51" s="50"/>
      <c r="C51" s="139" t="s">
        <v>145</v>
      </c>
      <c r="D51" s="163">
        <f>'MORE Formula w 3-yr Avg ''21-''23'!K60</f>
        <v>1.2507144616328295E-2</v>
      </c>
      <c r="E51" s="42">
        <f t="shared" si="1"/>
        <v>13610.896376575882</v>
      </c>
      <c r="F51" s="270">
        <f t="shared" si="6"/>
        <v>1750</v>
      </c>
      <c r="G51" s="245"/>
      <c r="H51" s="170">
        <f t="shared" si="3"/>
        <v>11860.896376575882</v>
      </c>
      <c r="I51" s="142">
        <f t="shared" si="2"/>
        <v>13</v>
      </c>
      <c r="J51" s="42">
        <f t="shared" si="4"/>
        <v>2901</v>
      </c>
      <c r="K51" s="42">
        <f t="shared" si="5"/>
        <v>8959.8963765758817</v>
      </c>
      <c r="L51" t="s">
        <v>252</v>
      </c>
    </row>
    <row r="52" spans="1:12" ht="17.100000000000001" customHeight="1">
      <c r="A52" s="125">
        <v>42</v>
      </c>
      <c r="B52" s="50"/>
      <c r="C52" s="139" t="s">
        <v>146</v>
      </c>
      <c r="D52" s="163">
        <f>'MORE Formula w 3-yr Avg ''21-''23'!K14</f>
        <v>1.5864998118003504E-2</v>
      </c>
      <c r="E52" s="42">
        <f t="shared" si="1"/>
        <v>17265.079442417878</v>
      </c>
      <c r="F52" s="270">
        <f t="shared" si="6"/>
        <v>1750</v>
      </c>
      <c r="G52" s="245"/>
      <c r="H52" s="170">
        <f t="shared" si="3"/>
        <v>15515.079442417878</v>
      </c>
      <c r="I52" s="142">
        <f t="shared" si="2"/>
        <v>16</v>
      </c>
      <c r="J52" s="42">
        <f t="shared" si="4"/>
        <v>3679</v>
      </c>
      <c r="K52" s="42">
        <f t="shared" si="5"/>
        <v>11836.079442417878</v>
      </c>
      <c r="L52" t="s">
        <v>252</v>
      </c>
    </row>
    <row r="53" spans="1:12" ht="17.100000000000001" customHeight="1">
      <c r="A53" s="125">
        <v>43</v>
      </c>
      <c r="B53" s="50"/>
      <c r="C53" s="139" t="s">
        <v>147</v>
      </c>
      <c r="D53" s="163">
        <f>'MORE Formula w 3-yr Avg ''21-''23'!K17</f>
        <v>7.4406241722700592E-3</v>
      </c>
      <c r="E53" s="42">
        <f t="shared" si="1"/>
        <v>8097.2570232856397</v>
      </c>
      <c r="F53" s="270">
        <f t="shared" si="6"/>
        <v>1750</v>
      </c>
      <c r="G53" s="245"/>
      <c r="H53" s="170">
        <f t="shared" si="3"/>
        <v>6347.2570232856397</v>
      </c>
      <c r="I53" s="142">
        <f t="shared" si="2"/>
        <v>7</v>
      </c>
      <c r="J53" s="42">
        <f t="shared" si="4"/>
        <v>1726</v>
      </c>
      <c r="K53" s="42">
        <f t="shared" si="5"/>
        <v>4621.2570232856397</v>
      </c>
    </row>
    <row r="54" spans="1:12" ht="17.100000000000001" customHeight="1">
      <c r="A54" s="125">
        <v>44</v>
      </c>
      <c r="B54" s="50"/>
      <c r="C54" s="139" t="s">
        <v>148</v>
      </c>
      <c r="D54" s="163">
        <f>'MORE Formula w 3-yr Avg ''21-''23'!K19</f>
        <v>7.3904375990371616E-3</v>
      </c>
      <c r="E54" s="42">
        <f t="shared" si="1"/>
        <v>8042.6415000209108</v>
      </c>
      <c r="F54" s="270">
        <f t="shared" si="6"/>
        <v>1750</v>
      </c>
      <c r="G54" s="245"/>
      <c r="H54" s="170">
        <f t="shared" si="3"/>
        <v>6292.6415000209108</v>
      </c>
      <c r="I54" s="142">
        <f t="shared" si="2"/>
        <v>7</v>
      </c>
      <c r="J54" s="42">
        <f t="shared" si="4"/>
        <v>1714</v>
      </c>
      <c r="K54" s="42">
        <f t="shared" si="5"/>
        <v>4578.6415000209108</v>
      </c>
    </row>
    <row r="55" spans="1:12" ht="17.100000000000001" customHeight="1">
      <c r="A55" s="125">
        <v>45</v>
      </c>
      <c r="B55" s="50"/>
      <c r="C55" s="139" t="s">
        <v>149</v>
      </c>
      <c r="D55" s="163">
        <f>'MORE Formula w 3-yr Avg ''21-''23'!K26</f>
        <v>1.8036729136558596E-2</v>
      </c>
      <c r="E55" s="42">
        <f t="shared" si="1"/>
        <v>19628.46507184115</v>
      </c>
      <c r="F55" s="270">
        <f t="shared" si="6"/>
        <v>1750</v>
      </c>
      <c r="G55" s="245"/>
      <c r="H55" s="170">
        <f t="shared" si="3"/>
        <v>17878.46507184115</v>
      </c>
      <c r="I55" s="142">
        <f t="shared" si="2"/>
        <v>18</v>
      </c>
      <c r="J55" s="42">
        <f t="shared" si="4"/>
        <v>4183</v>
      </c>
      <c r="K55" s="42">
        <f t="shared" si="5"/>
        <v>13695.46507184115</v>
      </c>
    </row>
    <row r="56" spans="1:12" ht="17.100000000000001" customHeight="1">
      <c r="A56" s="125">
        <v>46</v>
      </c>
      <c r="B56" s="50"/>
      <c r="C56" s="139" t="s">
        <v>150</v>
      </c>
      <c r="D56" s="163">
        <f>'MORE Formula w 3-yr Avg ''21-''23'!K41</f>
        <v>2.5185295334042762E-2</v>
      </c>
      <c r="E56" s="42">
        <f t="shared" si="1"/>
        <v>27407.890091683435</v>
      </c>
      <c r="F56" s="270">
        <f t="shared" si="6"/>
        <v>1750</v>
      </c>
      <c r="G56" s="245"/>
      <c r="H56" s="170">
        <f t="shared" si="3"/>
        <v>25657.890091683435</v>
      </c>
      <c r="I56" s="142">
        <f t="shared" si="2"/>
        <v>25</v>
      </c>
      <c r="J56" s="42">
        <f t="shared" si="4"/>
        <v>5841</v>
      </c>
      <c r="K56" s="42">
        <f t="shared" si="5"/>
        <v>19816.890091683435</v>
      </c>
      <c r="L56" t="s">
        <v>252</v>
      </c>
    </row>
    <row r="57" spans="1:12" ht="17.100000000000001" customHeight="1">
      <c r="A57" s="125">
        <v>47</v>
      </c>
      <c r="B57" s="50"/>
      <c r="C57" s="139" t="s">
        <v>151</v>
      </c>
      <c r="D57" s="163">
        <f>'MORE Formula w 3-yr Avg ''21-''23'!K61</f>
        <v>6.1380967206791917E-3</v>
      </c>
      <c r="E57" s="42">
        <f t="shared" si="1"/>
        <v>6679.7819148501139</v>
      </c>
      <c r="F57" s="270">
        <f t="shared" si="6"/>
        <v>1750</v>
      </c>
      <c r="G57" s="245"/>
      <c r="H57" s="170">
        <f t="shared" si="3"/>
        <v>4929.7819148501139</v>
      </c>
      <c r="I57" s="142">
        <f t="shared" si="2"/>
        <v>6</v>
      </c>
      <c r="J57" s="42">
        <f t="shared" si="4"/>
        <v>1424</v>
      </c>
      <c r="K57" s="42">
        <f t="shared" si="5"/>
        <v>3505.7819148501139</v>
      </c>
    </row>
    <row r="58" spans="1:12" ht="17.100000000000001" customHeight="1">
      <c r="A58" s="125">
        <v>48</v>
      </c>
      <c r="B58" s="50"/>
      <c r="C58" s="139" t="s">
        <v>152</v>
      </c>
      <c r="D58" s="163">
        <f>'MORE Formula w 3-yr Avg ''21-''23'!K56</f>
        <v>3.5005134829946515E-3</v>
      </c>
      <c r="E58" s="42">
        <f t="shared" si="1"/>
        <v>3809.4327477148845</v>
      </c>
      <c r="F58" s="270">
        <f t="shared" si="6"/>
        <v>1750</v>
      </c>
      <c r="G58" s="245"/>
      <c r="H58" s="170">
        <f t="shared" si="3"/>
        <v>2059.4327477148845</v>
      </c>
      <c r="I58" s="142">
        <f>ROUND(D58*1000,0)</f>
        <v>4</v>
      </c>
      <c r="J58" s="42">
        <f t="shared" si="4"/>
        <v>812</v>
      </c>
      <c r="K58" s="42">
        <f t="shared" si="5"/>
        <v>1247.4327477148845</v>
      </c>
    </row>
    <row r="59" spans="1:12" ht="17.100000000000001" customHeight="1">
      <c r="A59" s="125">
        <v>49</v>
      </c>
      <c r="B59" s="50"/>
      <c r="C59" s="139" t="s">
        <v>153</v>
      </c>
      <c r="D59" s="163">
        <f>'MORE Formula w 3-yr Avg ''21-''23'!K15</f>
        <v>1.6395907006138563E-2</v>
      </c>
      <c r="E59" s="42">
        <f t="shared" si="1"/>
        <v>17842.84088065819</v>
      </c>
      <c r="F59" s="270">
        <f t="shared" si="6"/>
        <v>1750</v>
      </c>
      <c r="G59" s="245"/>
      <c r="H59" s="170">
        <f t="shared" si="3"/>
        <v>16092.84088065819</v>
      </c>
      <c r="I59" s="142">
        <f>ROUND(D59*1000,0)</f>
        <v>16</v>
      </c>
      <c r="J59" s="42">
        <f t="shared" si="4"/>
        <v>3802</v>
      </c>
      <c r="K59" s="42">
        <f t="shared" si="5"/>
        <v>12290.84088065819</v>
      </c>
    </row>
    <row r="60" spans="1:12" ht="17.100000000000001" customHeight="1">
      <c r="A60" s="125">
        <v>50</v>
      </c>
      <c r="B60" s="50"/>
      <c r="C60" s="139" t="s">
        <v>154</v>
      </c>
      <c r="D60" s="163">
        <f>'MORE Formula w 3-yr Avg ''21-''23'!K10</f>
        <v>2.1895518989576992E-2</v>
      </c>
      <c r="E60" s="42">
        <f t="shared" si="1"/>
        <v>23827.791971751463</v>
      </c>
      <c r="F60" s="270">
        <f t="shared" si="6"/>
        <v>1750</v>
      </c>
      <c r="G60" s="245"/>
      <c r="H60" s="170">
        <f t="shared" si="3"/>
        <v>22077.791971751463</v>
      </c>
      <c r="I60" s="142">
        <f>ROUND(D60*1000,0)</f>
        <v>22</v>
      </c>
      <c r="J60" s="42">
        <f t="shared" si="4"/>
        <v>5078</v>
      </c>
      <c r="K60" s="42">
        <f t="shared" si="5"/>
        <v>16999.791971751463</v>
      </c>
      <c r="L60" t="s">
        <v>252</v>
      </c>
    </row>
    <row r="61" spans="1:12" ht="17.100000000000001" customHeight="1">
      <c r="A61" s="125">
        <v>51</v>
      </c>
      <c r="B61" s="50"/>
      <c r="C61" s="139" t="s">
        <v>155</v>
      </c>
      <c r="D61" s="163">
        <f>'MORE Formula w 3-yr Avg ''21-''23'!K46</f>
        <v>6.0862837307211533E-3</v>
      </c>
      <c r="E61" s="42">
        <f t="shared" si="1"/>
        <v>6623.3964440721757</v>
      </c>
      <c r="F61" s="270">
        <f t="shared" si="6"/>
        <v>1750</v>
      </c>
      <c r="G61" s="245"/>
      <c r="H61" s="170">
        <f t="shared" si="3"/>
        <v>4873.3964440721757</v>
      </c>
      <c r="I61" s="142"/>
      <c r="J61" s="42">
        <f t="shared" si="4"/>
        <v>1411</v>
      </c>
      <c r="K61" s="42">
        <f t="shared" si="5"/>
        <v>3462.3964440721757</v>
      </c>
    </row>
    <row r="62" spans="1:12" ht="17.100000000000001" customHeight="1">
      <c r="A62" s="125">
        <v>52</v>
      </c>
      <c r="B62" s="50"/>
      <c r="C62" s="139" t="s">
        <v>325</v>
      </c>
      <c r="D62" s="163">
        <f>'MORE Formula w 3-yr Avg ''21-''23'!K34</f>
        <v>3.297676082845021E-3</v>
      </c>
      <c r="E62" s="42">
        <f t="shared" si="1"/>
        <v>3588.6950078532691</v>
      </c>
      <c r="F62" s="270">
        <f t="shared" si="6"/>
        <v>1750</v>
      </c>
      <c r="G62" s="245"/>
      <c r="H62" s="170">
        <f t="shared" si="3"/>
        <v>1838.6950078532691</v>
      </c>
      <c r="I62" s="142"/>
      <c r="J62" s="42">
        <f t="shared" si="4"/>
        <v>765</v>
      </c>
      <c r="K62" s="42">
        <f t="shared" si="5"/>
        <v>1073.6950078532691</v>
      </c>
    </row>
    <row r="63" spans="1:12" ht="17.100000000000001" customHeight="1">
      <c r="A63" s="125">
        <v>53</v>
      </c>
      <c r="B63" s="50"/>
      <c r="C63" s="139" t="s">
        <v>334</v>
      </c>
      <c r="D63" s="163">
        <f>'MORE Formula w 3-yr Avg ''21-''23'!K30</f>
        <v>1.1349832943767804E-2</v>
      </c>
      <c r="E63" s="42">
        <f>($D$6*D63)</f>
        <v>12351.45229610543</v>
      </c>
      <c r="F63" s="270">
        <f>IF(E63&lt;($E$7*2),E63/2,$E$7)</f>
        <v>1750</v>
      </c>
      <c r="G63" s="245"/>
      <c r="H63" s="170">
        <f>E63-F63-G63</f>
        <v>10601.45229610543</v>
      </c>
      <c r="I63" s="142"/>
      <c r="J63" s="42">
        <f>ROUND($J$9*D63,0)</f>
        <v>2632</v>
      </c>
      <c r="K63" s="42">
        <f>H63-J63</f>
        <v>7969.4522961054299</v>
      </c>
    </row>
    <row r="64" spans="1:12" ht="17.100000000000001" customHeight="1">
      <c r="A64" s="125">
        <v>54</v>
      </c>
      <c r="B64" s="50"/>
      <c r="C64" s="139" t="s">
        <v>366</v>
      </c>
      <c r="D64" s="163">
        <f>'MORE Formula w 3-yr Avg ''21-''23'!K25</f>
        <v>6.0653726585407786E-3</v>
      </c>
      <c r="E64" s="42">
        <f>($D$6*D64)</f>
        <v>6600.6399760452041</v>
      </c>
      <c r="F64" s="270">
        <f>IF(E64&lt;($E$7*2),E64/2,$E$7)</f>
        <v>1750</v>
      </c>
      <c r="G64" s="245"/>
      <c r="H64" s="170">
        <f>E64-F64-G64</f>
        <v>4850.6399760452041</v>
      </c>
      <c r="I64" s="142"/>
      <c r="J64" s="42">
        <f>ROUND($J$9*D64,0)</f>
        <v>1407</v>
      </c>
      <c r="K64" s="42">
        <f>H64-J64</f>
        <v>3443.6399760452041</v>
      </c>
    </row>
    <row r="65" spans="1:11" ht="17.100000000000001" customHeight="1" thickBot="1">
      <c r="A65" s="125">
        <v>55</v>
      </c>
      <c r="B65" s="50"/>
      <c r="C65" s="139" t="s">
        <v>449</v>
      </c>
      <c r="D65" s="163">
        <f>'MORE Formula w 3-yr Avg ''21-''23'!K39</f>
        <v>3.8460108644637241E-3</v>
      </c>
      <c r="E65" s="42">
        <f>($D$6*D65)</f>
        <v>4185.4201694493886</v>
      </c>
      <c r="F65" s="270">
        <f>IF(E65&lt;($E$7*2),E65/2,$E$7)</f>
        <v>1750</v>
      </c>
      <c r="G65" s="245"/>
      <c r="H65" s="170">
        <f>E65-F65-G65</f>
        <v>2435.4201694493886</v>
      </c>
      <c r="I65" s="142"/>
      <c r="J65" s="42">
        <f>ROUND($J$9*D65,0)</f>
        <v>892</v>
      </c>
      <c r="K65" s="42">
        <f>H65-J65</f>
        <v>1543.4201694493886</v>
      </c>
    </row>
    <row r="66" spans="1:11" ht="17.100000000000001" customHeight="1" thickBot="1">
      <c r="A66" s="124"/>
      <c r="B66" s="48"/>
      <c r="C66" s="48" t="s">
        <v>156</v>
      </c>
      <c r="D66" s="48"/>
      <c r="E66" s="48"/>
      <c r="F66" s="60"/>
      <c r="G66" s="246"/>
      <c r="H66" s="278">
        <f>SUM(E11:E61)-SUM(H11:H61)</f>
        <v>100750.00000000012</v>
      </c>
      <c r="I66" s="143"/>
      <c r="J66" s="6"/>
      <c r="K66" s="6"/>
    </row>
    <row r="67" spans="1:11" ht="14.4" thickBot="1">
      <c r="A67" s="125"/>
      <c r="B67" s="50"/>
      <c r="C67" s="50"/>
      <c r="D67" s="50"/>
      <c r="E67" s="50"/>
      <c r="F67" s="61"/>
      <c r="G67" s="247"/>
      <c r="H67" s="277"/>
      <c r="I67" s="144"/>
      <c r="J67" s="16"/>
      <c r="K67" s="16"/>
    </row>
    <row r="68" spans="1:11" ht="18.75" customHeight="1" thickBot="1">
      <c r="A68" s="51"/>
      <c r="B68" s="52"/>
      <c r="C68" s="53" t="s">
        <v>157</v>
      </c>
      <c r="D68" s="66">
        <f>SUM(D11:D66)</f>
        <v>0.99999999999999978</v>
      </c>
      <c r="E68" s="62">
        <f>SUM(E11:E67)</f>
        <v>1088249.7000000002</v>
      </c>
      <c r="F68" s="121">
        <f>SUM(F11:F67)</f>
        <v>92750</v>
      </c>
      <c r="G68" s="121">
        <f>SUM(G11:G67)</f>
        <v>15000</v>
      </c>
      <c r="H68" s="122">
        <f>SUM(H11:H67)-H66</f>
        <v>980499.7000000003</v>
      </c>
      <c r="I68" s="145">
        <f>SUM(I11:I66)</f>
        <v>970</v>
      </c>
      <c r="J68" s="62">
        <f>SUM(J11:J67)</f>
        <v>231916</v>
      </c>
      <c r="K68" s="62">
        <f>SUM(K11:K67)</f>
        <v>748583.7000000003</v>
      </c>
    </row>
    <row r="69" spans="1:11" ht="13.5" customHeight="1">
      <c r="A69" s="28"/>
      <c r="B69" s="30"/>
      <c r="C69" s="28"/>
      <c r="D69" s="28"/>
      <c r="E69" s="116" t="s">
        <v>158</v>
      </c>
      <c r="F69" s="28"/>
      <c r="G69" s="28"/>
      <c r="H69" s="28"/>
    </row>
    <row r="70" spans="1:11" ht="27" hidden="1" customHeight="1">
      <c r="A70" s="28"/>
      <c r="B70" s="28"/>
      <c r="C70" s="28"/>
      <c r="D70" s="28"/>
      <c r="E70" s="47"/>
      <c r="F70" s="46" t="s">
        <v>159</v>
      </c>
      <c r="G70" s="46"/>
      <c r="H70" s="41">
        <v>0</v>
      </c>
    </row>
    <row r="71" spans="1:11">
      <c r="A71" s="28"/>
      <c r="B71" s="28"/>
      <c r="C71" s="28" t="s">
        <v>160</v>
      </c>
      <c r="D71" s="28"/>
      <c r="E71" s="41"/>
      <c r="F71" s="28"/>
      <c r="G71" s="28"/>
      <c r="H71" s="28"/>
    </row>
    <row r="72" spans="1:11">
      <c r="A72" s="28"/>
      <c r="B72" s="28"/>
      <c r="C72" s="28"/>
      <c r="D72" s="28"/>
      <c r="E72" s="28"/>
      <c r="F72" s="28"/>
      <c r="G72" s="28"/>
      <c r="H72" s="28"/>
    </row>
    <row r="74" spans="1:11" ht="14.4" thickBot="1">
      <c r="A74" s="188" t="s">
        <v>252</v>
      </c>
      <c r="B74" s="130" t="s">
        <v>303</v>
      </c>
      <c r="C74" s="130"/>
      <c r="D74" s="129"/>
      <c r="E74" s="129"/>
      <c r="F74" s="129"/>
      <c r="G74" s="129"/>
      <c r="H74" s="305">
        <v>428</v>
      </c>
    </row>
    <row r="75" spans="1:11">
      <c r="A75" s="148"/>
      <c r="B75" s="1"/>
      <c r="C75" s="1"/>
      <c r="H75" s="297"/>
    </row>
    <row r="76" spans="1:11">
      <c r="A76" s="148"/>
      <c r="B76" s="1"/>
      <c r="C76" s="1" t="s">
        <v>370</v>
      </c>
      <c r="D76" s="158" t="s">
        <v>371</v>
      </c>
      <c r="E76" s="158" t="s">
        <v>372</v>
      </c>
      <c r="F76" s="158" t="s">
        <v>398</v>
      </c>
      <c r="G76" s="158" t="s">
        <v>373</v>
      </c>
      <c r="H76" s="297"/>
    </row>
    <row r="77" spans="1:11" ht="19.5" customHeight="1" outlineLevel="2">
      <c r="C77" s="113" t="s">
        <v>161</v>
      </c>
      <c r="D77" s="233">
        <f>$H$74*F77</f>
        <v>856</v>
      </c>
      <c r="E77" s="113" t="s">
        <v>450</v>
      </c>
      <c r="F77" s="232">
        <v>2</v>
      </c>
      <c r="G77" s="232" t="s">
        <v>331</v>
      </c>
      <c r="H77" s="111"/>
    </row>
    <row r="78" spans="1:11" ht="19.5" customHeight="1" outlineLevel="1">
      <c r="C78" s="44" t="s">
        <v>374</v>
      </c>
      <c r="D78" s="233">
        <f>SUBTOTAL(9,D77:D77)</f>
        <v>856</v>
      </c>
      <c r="E78" s="113"/>
      <c r="F78" s="232"/>
      <c r="G78" s="232"/>
      <c r="H78" s="111"/>
    </row>
    <row r="79" spans="1:11" ht="14.25" customHeight="1" outlineLevel="2">
      <c r="C79" s="113" t="s">
        <v>162</v>
      </c>
      <c r="D79" s="233">
        <f>$H$74*F79</f>
        <v>856</v>
      </c>
      <c r="E79" s="113" t="s">
        <v>452</v>
      </c>
      <c r="F79" s="232">
        <v>2</v>
      </c>
      <c r="G79" s="232" t="s">
        <v>451</v>
      </c>
    </row>
    <row r="80" spans="1:11" ht="14.25" customHeight="1" outlineLevel="2">
      <c r="C80" s="113" t="s">
        <v>162</v>
      </c>
      <c r="D80" s="233">
        <f>12180*1.1</f>
        <v>13398.000000000002</v>
      </c>
      <c r="E80" s="113" t="s">
        <v>360</v>
      </c>
      <c r="F80" s="232"/>
      <c r="G80" s="232"/>
    </row>
    <row r="81" spans="3:7" ht="14.25" customHeight="1" outlineLevel="1">
      <c r="C81" s="44" t="s">
        <v>375</v>
      </c>
      <c r="D81" s="233">
        <f>SUBTOTAL(9,D79:D80)</f>
        <v>14254.000000000002</v>
      </c>
      <c r="E81" s="113"/>
      <c r="F81" s="232"/>
      <c r="G81" s="232"/>
    </row>
    <row r="82" spans="3:7" ht="14.25" customHeight="1" outlineLevel="2">
      <c r="C82" s="113" t="s">
        <v>163</v>
      </c>
      <c r="D82" s="233">
        <f>$H$74*F82</f>
        <v>428</v>
      </c>
      <c r="E82" s="113" t="s">
        <v>450</v>
      </c>
      <c r="F82" s="232">
        <v>1</v>
      </c>
      <c r="G82" s="232" t="s">
        <v>332</v>
      </c>
    </row>
    <row r="83" spans="3:7" ht="14.25" customHeight="1" outlineLevel="1">
      <c r="C83" s="44" t="s">
        <v>376</v>
      </c>
      <c r="D83" s="233">
        <f>SUBTOTAL(9,D82:D82)</f>
        <v>428</v>
      </c>
      <c r="E83" s="113"/>
      <c r="F83" s="232"/>
      <c r="G83" s="232"/>
    </row>
    <row r="84" spans="3:7" ht="14.25" customHeight="1" outlineLevel="2">
      <c r="C84" s="113" t="s">
        <v>195</v>
      </c>
      <c r="D84" s="233">
        <f>E138*1867</f>
        <v>32.884609823487089</v>
      </c>
      <c r="E84" s="113" t="s">
        <v>397</v>
      </c>
      <c r="F84" s="232"/>
      <c r="G84" s="232"/>
    </row>
    <row r="85" spans="3:7" ht="14.25" customHeight="1" outlineLevel="1">
      <c r="C85" s="44" t="s">
        <v>399</v>
      </c>
      <c r="D85" s="233">
        <f>SUBTOTAL(9,D84:D84)</f>
        <v>32.884609823487089</v>
      </c>
      <c r="E85" s="113"/>
      <c r="F85" s="232"/>
      <c r="G85" s="232"/>
    </row>
    <row r="86" spans="3:7" ht="14.25" customHeight="1" outlineLevel="2">
      <c r="C86" s="113" t="s">
        <v>164</v>
      </c>
      <c r="D86" s="233">
        <f>$H$74*F86</f>
        <v>428</v>
      </c>
      <c r="E86" s="113" t="s">
        <v>450</v>
      </c>
      <c r="F86" s="232">
        <v>1</v>
      </c>
      <c r="G86" s="232" t="s">
        <v>332</v>
      </c>
    </row>
    <row r="87" spans="3:7" ht="14.25" customHeight="1" outlineLevel="1">
      <c r="C87" s="44" t="s">
        <v>377</v>
      </c>
      <c r="D87" s="233">
        <f>SUBTOTAL(9,D86:D86)</f>
        <v>428</v>
      </c>
      <c r="E87" s="113"/>
      <c r="F87" s="232"/>
      <c r="G87" s="232"/>
    </row>
    <row r="88" spans="3:7" ht="14.25" customHeight="1" outlineLevel="2">
      <c r="C88" s="113" t="s">
        <v>165</v>
      </c>
      <c r="D88" s="233">
        <f>$H$74*F88</f>
        <v>856</v>
      </c>
      <c r="E88" s="113" t="s">
        <v>450</v>
      </c>
      <c r="F88" s="232">
        <v>2</v>
      </c>
      <c r="G88" s="232" t="s">
        <v>331</v>
      </c>
    </row>
    <row r="89" spans="3:7" ht="14.25" customHeight="1" outlineLevel="2">
      <c r="C89" s="113" t="s">
        <v>165</v>
      </c>
      <c r="D89" s="233">
        <f>E139*1867</f>
        <v>328.8804552899104</v>
      </c>
      <c r="E89" s="113" t="s">
        <v>397</v>
      </c>
      <c r="F89" s="232"/>
      <c r="G89" s="232"/>
    </row>
    <row r="90" spans="3:7" ht="14.25" customHeight="1" outlineLevel="1">
      <c r="C90" s="44" t="s">
        <v>378</v>
      </c>
      <c r="D90" s="233">
        <f>SUBTOTAL(9,D88:D89)</f>
        <v>1184.8804552899105</v>
      </c>
      <c r="E90" s="113"/>
      <c r="F90" s="232"/>
      <c r="G90" s="232"/>
    </row>
    <row r="91" spans="3:7" outlineLevel="2">
      <c r="C91" s="113" t="s">
        <v>294</v>
      </c>
      <c r="D91" s="233">
        <f>$H$74*F91</f>
        <v>3852</v>
      </c>
      <c r="E91" s="113" t="s">
        <v>453</v>
      </c>
      <c r="F91" s="232">
        <v>9</v>
      </c>
      <c r="G91" s="232" t="s">
        <v>351</v>
      </c>
    </row>
    <row r="92" spans="3:7" outlineLevel="2">
      <c r="C92" s="113" t="s">
        <v>294</v>
      </c>
      <c r="D92" s="233">
        <f>E140*1867</f>
        <v>1033.7694290824361</v>
      </c>
      <c r="E92" s="113" t="s">
        <v>397</v>
      </c>
      <c r="F92" s="232"/>
      <c r="G92" s="232"/>
    </row>
    <row r="93" spans="3:7" outlineLevel="1">
      <c r="C93" s="44" t="s">
        <v>379</v>
      </c>
      <c r="D93" s="233">
        <f>SUBTOTAL(9,D91:D92)</f>
        <v>4885.7694290824365</v>
      </c>
      <c r="E93" s="113"/>
      <c r="F93" s="232"/>
      <c r="G93" s="232"/>
    </row>
    <row r="94" spans="3:7" outlineLevel="2">
      <c r="C94" s="113" t="s">
        <v>167</v>
      </c>
      <c r="D94" s="233">
        <f>$H$74*F94</f>
        <v>428</v>
      </c>
      <c r="E94" s="113" t="s">
        <v>450</v>
      </c>
      <c r="F94" s="232">
        <v>1</v>
      </c>
      <c r="G94" s="232" t="s">
        <v>332</v>
      </c>
    </row>
    <row r="95" spans="3:7" outlineLevel="1">
      <c r="C95" s="44" t="s">
        <v>380</v>
      </c>
      <c r="D95" s="233">
        <f>SUBTOTAL(9,D94:D94)</f>
        <v>428</v>
      </c>
      <c r="E95" s="113"/>
      <c r="F95" s="232"/>
      <c r="G95" s="232"/>
    </row>
    <row r="96" spans="3:7" outlineLevel="2">
      <c r="C96" s="113" t="s">
        <v>212</v>
      </c>
      <c r="D96" s="233">
        <f>$H$74*F96</f>
        <v>428</v>
      </c>
      <c r="E96" s="113" t="s">
        <v>450</v>
      </c>
      <c r="F96" s="232">
        <v>1</v>
      </c>
      <c r="G96" s="232" t="s">
        <v>332</v>
      </c>
    </row>
    <row r="97" spans="3:7" outlineLevel="1">
      <c r="C97" s="44" t="s">
        <v>381</v>
      </c>
      <c r="D97" s="233">
        <f>SUBTOTAL(9,D96:D96)</f>
        <v>428</v>
      </c>
      <c r="E97" s="113"/>
      <c r="F97" s="232"/>
      <c r="G97" s="232"/>
    </row>
    <row r="98" spans="3:7" outlineLevel="2">
      <c r="C98" s="113" t="s">
        <v>168</v>
      </c>
      <c r="D98" s="233">
        <f t="shared" ref="D98:D128" si="7">$H$74*F98</f>
        <v>0</v>
      </c>
      <c r="E98" s="113" t="s">
        <v>450</v>
      </c>
      <c r="F98" s="232">
        <v>0</v>
      </c>
      <c r="G98" s="232" t="s">
        <v>403</v>
      </c>
    </row>
    <row r="99" spans="3:7" outlineLevel="1">
      <c r="C99" s="44" t="s">
        <v>382</v>
      </c>
      <c r="D99" s="233">
        <f>SUBTOTAL(9,D98:D98)</f>
        <v>0</v>
      </c>
      <c r="E99" s="113"/>
      <c r="F99" s="232"/>
      <c r="G99" s="232"/>
    </row>
    <row r="100" spans="3:7" outlineLevel="2">
      <c r="C100" s="113" t="s">
        <v>170</v>
      </c>
      <c r="D100" s="233">
        <f t="shared" si="7"/>
        <v>856</v>
      </c>
      <c r="E100" s="113" t="s">
        <v>450</v>
      </c>
      <c r="F100" s="232">
        <v>2</v>
      </c>
      <c r="G100" s="232" t="s">
        <v>331</v>
      </c>
    </row>
    <row r="101" spans="3:7" outlineLevel="1">
      <c r="C101" s="44" t="s">
        <v>383</v>
      </c>
      <c r="D101" s="233">
        <f>SUBTOTAL(9,D100:D100)</f>
        <v>856</v>
      </c>
      <c r="E101" s="113"/>
      <c r="F101" s="232"/>
      <c r="G101" s="232"/>
    </row>
    <row r="102" spans="3:7" outlineLevel="2">
      <c r="C102" s="113" t="s">
        <v>215</v>
      </c>
      <c r="D102" s="233">
        <f>E141*1867</f>
        <v>125.78281454971814</v>
      </c>
      <c r="E102" s="113" t="s">
        <v>397</v>
      </c>
      <c r="F102" s="232"/>
      <c r="G102" s="232"/>
    </row>
    <row r="103" spans="3:7" outlineLevel="1">
      <c r="C103" s="44" t="s">
        <v>400</v>
      </c>
      <c r="D103" s="233">
        <f>SUBTOTAL(9,D102:D102)</f>
        <v>125.78281454971814</v>
      </c>
      <c r="E103" s="113"/>
      <c r="F103" s="232"/>
      <c r="G103" s="232"/>
    </row>
    <row r="104" spans="3:7" outlineLevel="2">
      <c r="C104" s="113" t="s">
        <v>171</v>
      </c>
      <c r="D104" s="233">
        <f t="shared" si="7"/>
        <v>856</v>
      </c>
      <c r="E104" s="113" t="s">
        <v>450</v>
      </c>
      <c r="F104" s="232">
        <v>2</v>
      </c>
      <c r="G104" s="232" t="s">
        <v>331</v>
      </c>
    </row>
    <row r="105" spans="3:7" outlineLevel="2">
      <c r="C105" s="113" t="s">
        <v>171</v>
      </c>
      <c r="D105" s="233">
        <f>27529*1.1</f>
        <v>30281.9</v>
      </c>
      <c r="E105" s="113" t="s">
        <v>360</v>
      </c>
      <c r="F105" s="232"/>
      <c r="G105" s="232"/>
    </row>
    <row r="106" spans="3:7" outlineLevel="2">
      <c r="C106" s="113" t="s">
        <v>171</v>
      </c>
      <c r="D106" s="233">
        <f>E142*1867</f>
        <v>345.68269125444834</v>
      </c>
      <c r="E106" s="113" t="s">
        <v>397</v>
      </c>
      <c r="F106" s="232"/>
      <c r="G106" s="232"/>
    </row>
    <row r="107" spans="3:7" outlineLevel="1">
      <c r="C107" s="44" t="s">
        <v>384</v>
      </c>
      <c r="D107" s="233">
        <f>SUBTOTAL(9,D104:D106)</f>
        <v>31483.582691254451</v>
      </c>
      <c r="E107" s="113"/>
      <c r="F107" s="232"/>
      <c r="G107" s="232"/>
    </row>
    <row r="108" spans="3:7" outlineLevel="2">
      <c r="C108" s="113" t="s">
        <v>172</v>
      </c>
      <c r="D108" s="233">
        <f t="shared" si="7"/>
        <v>856</v>
      </c>
      <c r="E108" s="113" t="s">
        <v>450</v>
      </c>
      <c r="F108" s="232">
        <v>2</v>
      </c>
      <c r="G108" s="232" t="s">
        <v>332</v>
      </c>
    </row>
    <row r="109" spans="3:7" outlineLevel="2">
      <c r="C109" s="113" t="s">
        <v>172</v>
      </c>
      <c r="D109" s="233">
        <f>28238*1.1</f>
        <v>31061.800000000003</v>
      </c>
      <c r="E109" s="113" t="s">
        <v>360</v>
      </c>
      <c r="F109" s="232"/>
      <c r="G109" s="232"/>
    </row>
    <row r="110" spans="3:7" outlineLevel="1">
      <c r="C110" s="44" t="s">
        <v>385</v>
      </c>
      <c r="D110" s="233">
        <f>SUBTOTAL(9,D108:D109)</f>
        <v>31917.800000000003</v>
      </c>
      <c r="E110" s="113"/>
      <c r="F110" s="232"/>
      <c r="G110" s="232"/>
    </row>
    <row r="111" spans="3:7" outlineLevel="2">
      <c r="C111" s="113" t="s">
        <v>219</v>
      </c>
      <c r="D111" s="233">
        <f t="shared" si="7"/>
        <v>428</v>
      </c>
      <c r="E111" s="113" t="s">
        <v>450</v>
      </c>
      <c r="F111" s="232">
        <v>1</v>
      </c>
      <c r="G111" s="232" t="s">
        <v>332</v>
      </c>
    </row>
    <row r="112" spans="3:7" outlineLevel="1">
      <c r="C112" s="44" t="s">
        <v>386</v>
      </c>
      <c r="D112" s="233">
        <f>SUBTOTAL(9,D111:D111)</f>
        <v>428</v>
      </c>
      <c r="E112" s="113"/>
      <c r="F112" s="232"/>
      <c r="G112" s="232"/>
    </row>
    <row r="113" spans="3:9" outlineLevel="2">
      <c r="C113" s="113" t="s">
        <v>173</v>
      </c>
      <c r="D113" s="233">
        <f t="shared" si="7"/>
        <v>428</v>
      </c>
      <c r="E113" s="113" t="s">
        <v>450</v>
      </c>
      <c r="F113" s="232">
        <v>1</v>
      </c>
      <c r="G113" s="232" t="s">
        <v>332</v>
      </c>
    </row>
    <row r="114" spans="3:9" outlineLevel="1">
      <c r="C114" s="44" t="s">
        <v>387</v>
      </c>
      <c r="D114" s="233">
        <f>SUBTOTAL(9,D113:D113)</f>
        <v>428</v>
      </c>
      <c r="E114" s="113"/>
      <c r="F114" s="232"/>
      <c r="G114" s="232"/>
    </row>
    <row r="115" spans="3:9" outlineLevel="2">
      <c r="C115" s="113" t="s">
        <v>174</v>
      </c>
      <c r="D115" s="233">
        <f t="shared" si="7"/>
        <v>428</v>
      </c>
      <c r="E115" s="113" t="s">
        <v>450</v>
      </c>
      <c r="F115" s="232">
        <v>1</v>
      </c>
      <c r="G115" s="232" t="s">
        <v>332</v>
      </c>
    </row>
    <row r="116" spans="3:9" outlineLevel="1">
      <c r="C116" s="44" t="s">
        <v>388</v>
      </c>
      <c r="D116" s="233">
        <f>SUBTOTAL(9,D115:D115)</f>
        <v>428</v>
      </c>
      <c r="E116" s="113"/>
      <c r="F116" s="232"/>
      <c r="G116" s="232"/>
    </row>
    <row r="117" spans="3:9" outlineLevel="2">
      <c r="C117" s="113" t="s">
        <v>175</v>
      </c>
      <c r="D117" s="233">
        <f t="shared" si="7"/>
        <v>856</v>
      </c>
      <c r="E117" s="113" t="s">
        <v>452</v>
      </c>
      <c r="F117" s="232">
        <v>2</v>
      </c>
      <c r="G117" s="232" t="s">
        <v>451</v>
      </c>
    </row>
    <row r="118" spans="3:9" outlineLevel="2">
      <c r="C118" s="113" t="s">
        <v>361</v>
      </c>
      <c r="D118" s="233">
        <f>23212*1.1</f>
        <v>25533.200000000001</v>
      </c>
      <c r="E118" s="113" t="s">
        <v>360</v>
      </c>
      <c r="F118" s="232"/>
      <c r="G118" s="232"/>
    </row>
    <row r="119" spans="3:9" outlineLevel="1">
      <c r="C119" s="44" t="s">
        <v>389</v>
      </c>
      <c r="D119" s="233">
        <f>SUBTOTAL(9,D117:D118)</f>
        <v>26389.200000000001</v>
      </c>
      <c r="E119" s="113"/>
      <c r="F119" s="232"/>
      <c r="G119" s="232"/>
    </row>
    <row r="120" spans="3:9" outlineLevel="2">
      <c r="C120" s="113" t="s">
        <v>176</v>
      </c>
      <c r="D120" s="233">
        <f t="shared" si="7"/>
        <v>1712</v>
      </c>
      <c r="E120" s="113" t="s">
        <v>453</v>
      </c>
      <c r="F120" s="232">
        <v>4</v>
      </c>
      <c r="G120" s="232" t="s">
        <v>351</v>
      </c>
    </row>
    <row r="121" spans="3:9" outlineLevel="1">
      <c r="C121" s="44" t="s">
        <v>390</v>
      </c>
      <c r="D121" s="233">
        <f>SUBTOTAL(9,D120:D120)</f>
        <v>1712</v>
      </c>
      <c r="E121" s="113"/>
      <c r="F121" s="232"/>
      <c r="G121" s="232"/>
    </row>
    <row r="122" spans="3:9" outlineLevel="2">
      <c r="C122" s="113" t="s">
        <v>227</v>
      </c>
      <c r="D122" s="233">
        <f t="shared" si="7"/>
        <v>856</v>
      </c>
      <c r="E122" s="113" t="s">
        <v>450</v>
      </c>
      <c r="F122" s="232">
        <v>2</v>
      </c>
      <c r="G122" s="232" t="s">
        <v>331</v>
      </c>
    </row>
    <row r="123" spans="3:9" outlineLevel="1">
      <c r="C123" s="44" t="s">
        <v>391</v>
      </c>
      <c r="D123" s="233">
        <f>SUBTOTAL(9,D122:D122)</f>
        <v>856</v>
      </c>
      <c r="E123" s="113"/>
      <c r="F123" s="232"/>
      <c r="G123" s="232"/>
    </row>
    <row r="124" spans="3:9" outlineLevel="2">
      <c r="C124" s="113" t="s">
        <v>228</v>
      </c>
      <c r="D124" s="233">
        <f t="shared" si="7"/>
        <v>428</v>
      </c>
      <c r="E124" s="113" t="s">
        <v>450</v>
      </c>
      <c r="F124" s="232">
        <v>1</v>
      </c>
      <c r="G124" s="232" t="s">
        <v>332</v>
      </c>
    </row>
    <row r="125" spans="3:9" ht="14.4" outlineLevel="1" thickBot="1">
      <c r="C125" s="44" t="s">
        <v>392</v>
      </c>
      <c r="D125" s="233">
        <f>SUBTOTAL(9,D124:D124)</f>
        <v>428</v>
      </c>
      <c r="E125" s="113"/>
      <c r="F125" s="232"/>
      <c r="G125" s="232"/>
    </row>
    <row r="126" spans="3:9" ht="14.4" outlineLevel="2" thickBot="1">
      <c r="C126" s="113" t="s">
        <v>177</v>
      </c>
      <c r="D126" s="233">
        <f t="shared" si="7"/>
        <v>428</v>
      </c>
      <c r="E126" s="113" t="s">
        <v>450</v>
      </c>
      <c r="F126" s="232">
        <v>1</v>
      </c>
      <c r="G126" s="232" t="s">
        <v>332</v>
      </c>
      <c r="I126" s="115"/>
    </row>
    <row r="127" spans="3:9" outlineLevel="1">
      <c r="C127" s="44" t="s">
        <v>393</v>
      </c>
      <c r="D127" s="233">
        <f>SUBTOTAL(9,D126:D126)</f>
        <v>428</v>
      </c>
      <c r="E127" s="113"/>
      <c r="F127" s="232"/>
      <c r="G127" s="232"/>
    </row>
    <row r="128" spans="3:9" ht="15" customHeight="1" outlineLevel="2">
      <c r="C128" s="113" t="s">
        <v>178</v>
      </c>
      <c r="D128" s="233">
        <f t="shared" si="7"/>
        <v>428</v>
      </c>
      <c r="E128" s="113" t="s">
        <v>450</v>
      </c>
      <c r="F128" s="232">
        <v>1</v>
      </c>
      <c r="G128" s="232" t="s">
        <v>332</v>
      </c>
    </row>
    <row r="129" spans="3:7" ht="15" customHeight="1" outlineLevel="1">
      <c r="C129" s="44" t="s">
        <v>394</v>
      </c>
      <c r="D129" s="233">
        <f>SUBTOTAL(9,D128:D128)</f>
        <v>428</v>
      </c>
      <c r="E129" s="113"/>
      <c r="F129" s="232"/>
      <c r="G129" s="232"/>
    </row>
    <row r="130" spans="3:7" s="298" customFormat="1" ht="15" customHeight="1">
      <c r="C130" s="299" t="s">
        <v>395</v>
      </c>
      <c r="D130" s="300">
        <f>SUBTOTAL(9,D77:D128)</f>
        <v>118833.90000000001</v>
      </c>
      <c r="E130" s="299"/>
      <c r="F130" s="301">
        <f>SUM(F77:F129)</f>
        <v>39</v>
      </c>
      <c r="G130" s="301"/>
    </row>
    <row r="131" spans="3:7">
      <c r="C131" s="113"/>
    </row>
    <row r="132" spans="3:7">
      <c r="C132" s="1"/>
    </row>
    <row r="137" spans="3:7">
      <c r="C137" s="1" t="s">
        <v>396</v>
      </c>
    </row>
    <row r="138" spans="3:7">
      <c r="C138" s="158" t="s">
        <v>195</v>
      </c>
      <c r="D138" s="302">
        <v>20100</v>
      </c>
      <c r="E138" s="304">
        <f>D138/$D$143</f>
        <v>1.7613609975086819E-2</v>
      </c>
    </row>
    <row r="139" spans="3:7">
      <c r="C139" s="158" t="s">
        <v>204</v>
      </c>
      <c r="D139" s="302">
        <v>201021</v>
      </c>
      <c r="E139" s="304">
        <f t="shared" ref="E139:E142" si="8">D139/$D$143</f>
        <v>0.17615450202994665</v>
      </c>
    </row>
    <row r="140" spans="3:7">
      <c r="C140" s="158" t="s">
        <v>166</v>
      </c>
      <c r="D140" s="302">
        <v>631869</v>
      </c>
      <c r="E140" s="304">
        <f t="shared" si="8"/>
        <v>0.55370617519144938</v>
      </c>
    </row>
    <row r="141" spans="3:7">
      <c r="C141" s="158" t="s">
        <v>215</v>
      </c>
      <c r="D141" s="302">
        <v>76882</v>
      </c>
      <c r="E141" s="304">
        <f t="shared" si="8"/>
        <v>6.7371620005205218E-2</v>
      </c>
    </row>
    <row r="142" spans="3:7">
      <c r="C142" s="158" t="s">
        <v>171</v>
      </c>
      <c r="D142" s="302">
        <v>211291</v>
      </c>
      <c r="E142" s="304">
        <f t="shared" si="8"/>
        <v>0.18515409279831191</v>
      </c>
    </row>
    <row r="143" spans="3:7">
      <c r="D143" s="303">
        <f>SUM(D138:D142)</f>
        <v>1141163</v>
      </c>
    </row>
  </sheetData>
  <mergeCells count="3">
    <mergeCell ref="J6:K6"/>
    <mergeCell ref="J7:K7"/>
    <mergeCell ref="A3:C3"/>
  </mergeCells>
  <phoneticPr fontId="0" type="noConversion"/>
  <pageMargins left="0.48" right="0.48" top="0.6" bottom="0.6" header="0.37" footer="0.26"/>
  <pageSetup scale="57" fitToHeight="2" orientation="portrait" verticalDpi="300" r:id="rId1"/>
  <headerFooter>
    <oddHeader>&amp;C&amp;K0000002025 Preliminary MORE Budget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J73"/>
  <sheetViews>
    <sheetView showRuler="0" zoomScaleNormal="100" zoomScalePageLayoutView="96" workbookViewId="0"/>
  </sheetViews>
  <sheetFormatPr defaultColWidth="8" defaultRowHeight="13.2"/>
  <cols>
    <col min="1" max="1" width="3.69921875" style="72" customWidth="1"/>
    <col min="2" max="4" width="11.69921875" style="72" customWidth="1"/>
    <col min="5" max="5" width="10.09765625" style="72" bestFit="1" customWidth="1"/>
    <col min="6" max="7" width="10.3984375" style="72" bestFit="1" customWidth="1"/>
    <col min="8" max="8" width="11.19921875" style="72" customWidth="1"/>
    <col min="9" max="10" width="9.8984375" style="72" customWidth="1"/>
    <col min="11" max="11" width="8.3984375" style="72" customWidth="1"/>
    <col min="12" max="12" width="10.09765625" style="72" customWidth="1"/>
    <col min="13" max="13" width="8.8984375" style="72" bestFit="1" customWidth="1"/>
    <col min="14" max="14" width="11.3984375" style="72" customWidth="1"/>
    <col min="15" max="15" width="9.19921875" style="72" bestFit="1" customWidth="1"/>
    <col min="16" max="16" width="9.19921875" style="72" customWidth="1"/>
    <col min="17" max="17" width="8.69921875" style="72" bestFit="1" customWidth="1"/>
    <col min="18" max="18" width="7" style="72" customWidth="1"/>
    <col min="19" max="19" width="0.69921875" style="72" customWidth="1"/>
    <col min="20" max="20" width="9.3984375" style="72" bestFit="1" customWidth="1"/>
    <col min="21" max="22" width="7.3984375" style="72" customWidth="1"/>
    <col min="23" max="23" width="8.09765625" style="72" customWidth="1"/>
    <col min="24" max="24" width="9.09765625" style="72" customWidth="1"/>
    <col min="25" max="25" width="8" style="72"/>
    <col min="26" max="27" width="11.19921875" style="72" bestFit="1" customWidth="1"/>
    <col min="28" max="29" width="10" style="72" customWidth="1"/>
    <col min="30" max="32" width="8" style="72"/>
    <col min="33" max="34" width="7.69921875" style="72" customWidth="1"/>
    <col min="35" max="35" width="9.09765625" style="72" customWidth="1"/>
    <col min="36" max="16384" width="8" style="72"/>
  </cols>
  <sheetData>
    <row r="1" spans="1:36" ht="15" customHeight="1">
      <c r="B1" s="71" t="s">
        <v>422</v>
      </c>
      <c r="C1" s="71"/>
      <c r="D1" s="71"/>
      <c r="K1" s="71" t="s">
        <v>180</v>
      </c>
      <c r="M1" s="171">
        <v>148500</v>
      </c>
      <c r="N1" s="284" t="s">
        <v>432</v>
      </c>
      <c r="O1" s="128"/>
      <c r="U1" s="71"/>
      <c r="V1" s="71"/>
    </row>
    <row r="2" spans="1:36">
      <c r="B2" s="71" t="s">
        <v>423</v>
      </c>
      <c r="C2" s="71"/>
      <c r="D2" s="71"/>
      <c r="K2" s="133" t="s">
        <v>181</v>
      </c>
      <c r="M2" s="172">
        <v>1750</v>
      </c>
      <c r="N2" s="248" t="s">
        <v>328</v>
      </c>
      <c r="O2" s="128"/>
    </row>
    <row r="3" spans="1:36">
      <c r="F3" s="74" t="s">
        <v>312</v>
      </c>
      <c r="K3" s="71" t="s">
        <v>309</v>
      </c>
      <c r="M3" s="237">
        <v>15000</v>
      </c>
      <c r="N3" s="288"/>
    </row>
    <row r="4" spans="1:36" ht="13.8" thickBot="1">
      <c r="A4" s="71"/>
      <c r="B4" s="71"/>
      <c r="C4" s="71"/>
      <c r="D4" s="71"/>
      <c r="F4" s="74" t="s">
        <v>182</v>
      </c>
      <c r="G4" s="74" t="s">
        <v>183</v>
      </c>
      <c r="H4" s="74" t="s">
        <v>184</v>
      </c>
      <c r="AF4" s="74"/>
    </row>
    <row r="5" spans="1:36" ht="13.8" thickBot="1">
      <c r="C5" s="71" t="s">
        <v>424</v>
      </c>
      <c r="E5" s="132">
        <f>'2025 Preliminary budget'!H44</f>
        <v>1128999.7</v>
      </c>
      <c r="F5" s="225">
        <f>M1-(92750)-M3</f>
        <v>40750</v>
      </c>
      <c r="G5" s="173">
        <f>E5-F5</f>
        <v>1088249.7</v>
      </c>
      <c r="H5" s="174">
        <f>'2025 Preliminary budget'!H37</f>
        <v>231912.80000000002</v>
      </c>
      <c r="L5" s="74">
        <v>10</v>
      </c>
      <c r="M5" s="74">
        <v>11</v>
      </c>
      <c r="N5" s="74">
        <v>12</v>
      </c>
      <c r="O5" s="74">
        <v>13</v>
      </c>
      <c r="P5" s="74">
        <v>14</v>
      </c>
      <c r="Q5" s="74">
        <v>15</v>
      </c>
      <c r="R5" s="74">
        <v>16</v>
      </c>
      <c r="AF5" s="74"/>
    </row>
    <row r="6" spans="1:36" ht="12" customHeight="1" thickBot="1">
      <c r="E6" s="73"/>
      <c r="F6" s="282" t="s">
        <v>358</v>
      </c>
      <c r="G6" s="80">
        <f>M63</f>
        <v>92750</v>
      </c>
      <c r="L6" s="308" t="s">
        <v>425</v>
      </c>
      <c r="M6" s="309"/>
      <c r="N6" s="309"/>
      <c r="O6" s="309"/>
      <c r="P6" s="309"/>
      <c r="Q6" s="309"/>
      <c r="R6" s="310"/>
      <c r="T6" s="74">
        <v>17</v>
      </c>
      <c r="U6" s="74">
        <v>18</v>
      </c>
      <c r="V6" s="74">
        <v>19</v>
      </c>
      <c r="W6" s="74">
        <v>20</v>
      </c>
      <c r="X6" s="74">
        <v>21</v>
      </c>
      <c r="AE6" s="256"/>
      <c r="AF6" s="274"/>
    </row>
    <row r="7" spans="1:36" ht="12.75" customHeight="1" thickBot="1"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311" t="s">
        <v>185</v>
      </c>
      <c r="M7" s="312"/>
      <c r="N7" s="312"/>
      <c r="O7" s="312"/>
      <c r="P7" s="312"/>
      <c r="Q7" s="312"/>
      <c r="R7" s="313"/>
      <c r="T7" s="308" t="s">
        <v>426</v>
      </c>
      <c r="U7" s="309"/>
      <c r="V7" s="309"/>
      <c r="W7" s="309"/>
      <c r="X7" s="310"/>
      <c r="AB7" s="275"/>
      <c r="AE7" s="256"/>
    </row>
    <row r="8" spans="1:36" s="75" customFormat="1" ht="40.200000000000003" thickBot="1">
      <c r="B8" s="75" t="s">
        <v>186</v>
      </c>
      <c r="C8" s="273" t="s">
        <v>335</v>
      </c>
      <c r="D8" s="76" t="s">
        <v>354</v>
      </c>
      <c r="E8" s="76" t="s">
        <v>428</v>
      </c>
      <c r="F8" s="76" t="s">
        <v>187</v>
      </c>
      <c r="G8" s="76" t="s">
        <v>429</v>
      </c>
      <c r="H8" s="76" t="s">
        <v>188</v>
      </c>
      <c r="I8" s="294" t="s">
        <v>430</v>
      </c>
      <c r="J8" s="76" t="s">
        <v>326</v>
      </c>
      <c r="K8" s="76" t="s">
        <v>327</v>
      </c>
      <c r="L8" s="261" t="s">
        <v>448</v>
      </c>
      <c r="M8" s="262" t="s">
        <v>189</v>
      </c>
      <c r="N8" s="262" t="s">
        <v>308</v>
      </c>
      <c r="O8" s="263" t="s">
        <v>190</v>
      </c>
      <c r="P8" s="264" t="s">
        <v>191</v>
      </c>
      <c r="Q8" s="262" t="s">
        <v>192</v>
      </c>
      <c r="R8" s="265" t="s">
        <v>193</v>
      </c>
      <c r="S8" s="76"/>
      <c r="T8" s="192" t="s">
        <v>427</v>
      </c>
      <c r="U8" s="191" t="s">
        <v>189</v>
      </c>
      <c r="V8" s="76" t="s">
        <v>308</v>
      </c>
      <c r="W8" s="191" t="s">
        <v>190</v>
      </c>
      <c r="X8" s="229" t="s">
        <v>191</v>
      </c>
      <c r="Z8" s="76"/>
      <c r="AA8" s="273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15.75" customHeight="1">
      <c r="A9" s="96">
        <v>1</v>
      </c>
      <c r="B9" s="72" t="s">
        <v>161</v>
      </c>
      <c r="C9" s="279">
        <v>157984</v>
      </c>
      <c r="D9" s="271">
        <v>187439</v>
      </c>
      <c r="E9" s="283">
        <v>55406</v>
      </c>
      <c r="F9" s="175">
        <f t="shared" ref="F9:F42" si="0">E9/$E$63</f>
        <v>3.9795756393027445E-2</v>
      </c>
      <c r="G9" s="202">
        <v>145573</v>
      </c>
      <c r="H9" s="175">
        <f t="shared" ref="H9:H42" si="1">G9/$G$63</f>
        <v>4.6059330104785426E-2</v>
      </c>
      <c r="I9" s="202">
        <f>G9+E9</f>
        <v>200979</v>
      </c>
      <c r="J9" s="272">
        <f>ROUND((C9+D9+I9)/3,0)</f>
        <v>182134</v>
      </c>
      <c r="K9" s="177">
        <f t="shared" ref="K9:K42" si="2">J9/$J$63</f>
        <v>4.2317969116669844E-2</v>
      </c>
      <c r="L9" s="77">
        <f>ROUND(K9*$G$5,0)</f>
        <v>46053</v>
      </c>
      <c r="M9" s="197">
        <f>IF(L9&lt;(M2*2), L9/2,$M$2)</f>
        <v>1750</v>
      </c>
      <c r="N9" s="197"/>
      <c r="O9" s="178">
        <f>L9-M9-N9</f>
        <v>44303</v>
      </c>
      <c r="P9" s="179">
        <f>ROUND(K9*$H$5,0)</f>
        <v>9814</v>
      </c>
      <c r="Q9" s="197">
        <f t="shared" ref="Q9:Q62" si="3">O9-W9</f>
        <v>4949</v>
      </c>
      <c r="R9" s="180">
        <f>(O9-W9)/W9</f>
        <v>0.12575595873354678</v>
      </c>
      <c r="S9" s="78"/>
      <c r="T9" s="193">
        <v>41104</v>
      </c>
      <c r="U9" s="196">
        <v>1750</v>
      </c>
      <c r="V9" s="196"/>
      <c r="W9" s="197">
        <v>39354</v>
      </c>
      <c r="X9" s="230">
        <v>8801</v>
      </c>
      <c r="Z9" s="176"/>
      <c r="AA9" s="257"/>
      <c r="AB9" s="80"/>
      <c r="AC9" s="80"/>
      <c r="AD9" s="258"/>
      <c r="AE9" s="80"/>
      <c r="AF9" s="258"/>
      <c r="AG9" s="258"/>
      <c r="AH9" s="257"/>
      <c r="AI9" s="80"/>
    </row>
    <row r="10" spans="1:36" ht="12.75" customHeight="1">
      <c r="A10" s="96">
        <v>2</v>
      </c>
      <c r="B10" s="128" t="s">
        <v>162</v>
      </c>
      <c r="C10" s="279">
        <v>82813</v>
      </c>
      <c r="D10" s="271">
        <v>96933</v>
      </c>
      <c r="E10" s="208">
        <v>33141</v>
      </c>
      <c r="F10" s="175">
        <f t="shared" si="0"/>
        <v>2.3803760650855911E-2</v>
      </c>
      <c r="G10" s="202">
        <v>69823</v>
      </c>
      <c r="H10" s="175">
        <f t="shared" si="1"/>
        <v>2.2092012982534076E-2</v>
      </c>
      <c r="I10" s="202">
        <f t="shared" ref="I10:I62" si="4">G10+E10</f>
        <v>102964</v>
      </c>
      <c r="J10" s="272">
        <f t="shared" ref="J10:J62" si="5">ROUND((C10+D10+I10)/3,0)</f>
        <v>94237</v>
      </c>
      <c r="K10" s="177">
        <f t="shared" si="2"/>
        <v>2.1895518989576992E-2</v>
      </c>
      <c r="L10" s="79">
        <f>ROUND(K10*$G$5,0)</f>
        <v>23828</v>
      </c>
      <c r="M10" s="196">
        <f>IF(L10&lt;($M$2*2), L10/2,$M$2)</f>
        <v>1750</v>
      </c>
      <c r="N10" s="196"/>
      <c r="O10" s="242">
        <f>L10-M10-N10</f>
        <v>22078</v>
      </c>
      <c r="P10" s="118">
        <f t="shared" ref="P10:P40" si="6">ROUND(K10*$H$5,0)</f>
        <v>5078</v>
      </c>
      <c r="Q10" s="80">
        <f t="shared" si="3"/>
        <v>772</v>
      </c>
      <c r="R10" s="181">
        <f>(O10-W10)/W10</f>
        <v>3.6233924716042427E-2</v>
      </c>
      <c r="S10" s="78"/>
      <c r="T10" s="194">
        <v>23056</v>
      </c>
      <c r="U10" s="196">
        <v>1750</v>
      </c>
      <c r="V10" s="196"/>
      <c r="W10" s="195">
        <v>21306</v>
      </c>
      <c r="X10" s="231">
        <v>4937</v>
      </c>
      <c r="Z10" s="176"/>
      <c r="AA10" s="257"/>
      <c r="AB10" s="80"/>
      <c r="AC10" s="80"/>
      <c r="AD10" s="258"/>
      <c r="AE10" s="80"/>
      <c r="AF10" s="258"/>
      <c r="AG10" s="258"/>
      <c r="AH10" s="257"/>
      <c r="AI10" s="80"/>
    </row>
    <row r="11" spans="1:36">
      <c r="A11" s="96">
        <v>3</v>
      </c>
      <c r="B11" s="128" t="s">
        <v>194</v>
      </c>
      <c r="C11" s="279">
        <v>31040</v>
      </c>
      <c r="D11" s="271">
        <v>36569</v>
      </c>
      <c r="E11" s="208">
        <v>17671</v>
      </c>
      <c r="F11" s="175">
        <f t="shared" si="0"/>
        <v>1.2692322333703715E-2</v>
      </c>
      <c r="G11" s="202">
        <v>19040</v>
      </c>
      <c r="H11" s="175">
        <f t="shared" si="1"/>
        <v>6.0242603037315608E-3</v>
      </c>
      <c r="I11" s="202">
        <f t="shared" si="4"/>
        <v>36711</v>
      </c>
      <c r="J11" s="272">
        <f t="shared" si="5"/>
        <v>34773</v>
      </c>
      <c r="K11" s="177">
        <f t="shared" si="2"/>
        <v>8.0793412547572694E-3</v>
      </c>
      <c r="L11" s="79">
        <f t="shared" ref="L11:L62" si="7">ROUND(K11*$G$5,0)</f>
        <v>8792</v>
      </c>
      <c r="M11" s="196">
        <f t="shared" ref="M11:M62" si="8">IF(L11&lt;($M$2*2), L11/2,$M$2)</f>
        <v>1750</v>
      </c>
      <c r="N11" s="196"/>
      <c r="O11" s="242">
        <f t="shared" ref="O11:O62" si="9">L11-M11-N11</f>
        <v>7042</v>
      </c>
      <c r="P11" s="118">
        <f t="shared" si="6"/>
        <v>1874</v>
      </c>
      <c r="Q11" s="80">
        <f t="shared" si="3"/>
        <v>526</v>
      </c>
      <c r="R11" s="181">
        <f>(O11-W11)/W11</f>
        <v>8.07243707796194E-2</v>
      </c>
      <c r="S11" s="78"/>
      <c r="T11" s="194">
        <v>8266</v>
      </c>
      <c r="U11" s="196">
        <v>1750</v>
      </c>
      <c r="V11" s="196"/>
      <c r="W11" s="195">
        <v>6516</v>
      </c>
      <c r="X11" s="231">
        <v>1770</v>
      </c>
      <c r="Z11" s="176"/>
      <c r="AA11" s="257"/>
      <c r="AB11" s="80"/>
      <c r="AC11" s="80"/>
      <c r="AD11" s="258"/>
      <c r="AE11" s="80"/>
      <c r="AF11" s="258"/>
      <c r="AG11" s="258"/>
      <c r="AH11" s="257"/>
      <c r="AI11" s="80"/>
    </row>
    <row r="12" spans="1:36">
      <c r="A12" s="96">
        <v>4</v>
      </c>
      <c r="B12" s="128" t="s">
        <v>163</v>
      </c>
      <c r="C12" s="279">
        <v>66511</v>
      </c>
      <c r="D12" s="271">
        <v>74742</v>
      </c>
      <c r="E12" s="208">
        <v>30425</v>
      </c>
      <c r="F12" s="175">
        <f t="shared" si="0"/>
        <v>2.1852974195174891E-2</v>
      </c>
      <c r="G12" s="202">
        <v>51874</v>
      </c>
      <c r="H12" s="175">
        <f t="shared" si="1"/>
        <v>1.641294532540814E-2</v>
      </c>
      <c r="I12" s="202">
        <f t="shared" si="4"/>
        <v>82299</v>
      </c>
      <c r="J12" s="272">
        <f t="shared" si="5"/>
        <v>74517</v>
      </c>
      <c r="K12" s="177">
        <f t="shared" si="2"/>
        <v>1.7313670729610542E-2</v>
      </c>
      <c r="L12" s="79">
        <f t="shared" si="7"/>
        <v>18842</v>
      </c>
      <c r="M12" s="196">
        <f t="shared" si="8"/>
        <v>1750</v>
      </c>
      <c r="N12" s="196"/>
      <c r="O12" s="242">
        <f t="shared" si="9"/>
        <v>17092</v>
      </c>
      <c r="P12" s="118">
        <f t="shared" si="6"/>
        <v>4015</v>
      </c>
      <c r="Q12" s="80">
        <f t="shared" si="3"/>
        <v>1319</v>
      </c>
      <c r="R12" s="181">
        <f>(O12-W12)/W12</f>
        <v>8.3623914283902867E-2</v>
      </c>
      <c r="S12" s="78"/>
      <c r="T12" s="194">
        <v>17523</v>
      </c>
      <c r="U12" s="196">
        <v>1750</v>
      </c>
      <c r="V12" s="196"/>
      <c r="W12" s="195">
        <v>15773</v>
      </c>
      <c r="X12" s="231">
        <v>3752</v>
      </c>
      <c r="Z12" s="176"/>
      <c r="AA12" s="257"/>
      <c r="AB12" s="80"/>
      <c r="AC12" s="80"/>
      <c r="AD12" s="258"/>
      <c r="AE12" s="80"/>
      <c r="AF12" s="258"/>
      <c r="AG12" s="258"/>
      <c r="AH12" s="257"/>
      <c r="AI12" s="80"/>
    </row>
    <row r="13" spans="1:36">
      <c r="A13" s="96">
        <v>5</v>
      </c>
      <c r="B13" s="72" t="s">
        <v>195</v>
      </c>
      <c r="C13" s="279">
        <v>30976</v>
      </c>
      <c r="D13" s="271">
        <v>36155</v>
      </c>
      <c r="E13" s="208">
        <v>16734</v>
      </c>
      <c r="F13" s="175">
        <f t="shared" si="0"/>
        <v>1.2019315371637029E-2</v>
      </c>
      <c r="G13" s="202">
        <v>20100</v>
      </c>
      <c r="H13" s="175">
        <f t="shared" si="1"/>
        <v>6.3596445433300617E-3</v>
      </c>
      <c r="I13" s="202">
        <f t="shared" si="4"/>
        <v>36834</v>
      </c>
      <c r="J13" s="272">
        <f t="shared" si="5"/>
        <v>34655</v>
      </c>
      <c r="K13" s="177">
        <f t="shared" si="2"/>
        <v>8.0519245156763335E-3</v>
      </c>
      <c r="L13" s="79">
        <f t="shared" si="7"/>
        <v>8763</v>
      </c>
      <c r="M13" s="196">
        <f t="shared" si="8"/>
        <v>1750</v>
      </c>
      <c r="N13" s="196"/>
      <c r="O13" s="242">
        <f t="shared" si="9"/>
        <v>7013</v>
      </c>
      <c r="P13" s="118">
        <f t="shared" si="6"/>
        <v>1867</v>
      </c>
      <c r="Q13" s="80">
        <f t="shared" si="3"/>
        <v>626</v>
      </c>
      <c r="R13" s="181">
        <f>(O13-W13)/W13</f>
        <v>9.8011586034131834E-2</v>
      </c>
      <c r="S13" s="78"/>
      <c r="T13" s="194">
        <v>8137</v>
      </c>
      <c r="U13" s="196">
        <v>1750</v>
      </c>
      <c r="V13" s="196"/>
      <c r="W13" s="195">
        <v>6387</v>
      </c>
      <c r="X13" s="231">
        <v>1742</v>
      </c>
      <c r="Z13" s="176"/>
      <c r="AA13" s="257"/>
      <c r="AB13" s="80"/>
      <c r="AC13" s="80"/>
      <c r="AD13" s="258"/>
      <c r="AE13" s="80"/>
      <c r="AF13" s="258"/>
      <c r="AG13" s="258"/>
      <c r="AH13" s="257"/>
      <c r="AI13" s="80"/>
    </row>
    <row r="14" spans="1:36">
      <c r="A14" s="96">
        <v>6</v>
      </c>
      <c r="B14" s="128" t="s">
        <v>196</v>
      </c>
      <c r="C14" s="279">
        <v>64318</v>
      </c>
      <c r="D14" s="271">
        <v>69525</v>
      </c>
      <c r="E14" s="208">
        <v>27051</v>
      </c>
      <c r="F14" s="175">
        <f t="shared" si="0"/>
        <v>1.9429574526004141E-2</v>
      </c>
      <c r="G14" s="202">
        <v>43951</v>
      </c>
      <c r="H14" s="175">
        <f t="shared" si="1"/>
        <v>1.3906106334522366E-2</v>
      </c>
      <c r="I14" s="202">
        <f t="shared" si="4"/>
        <v>71002</v>
      </c>
      <c r="J14" s="272">
        <f t="shared" si="5"/>
        <v>68282</v>
      </c>
      <c r="K14" s="177">
        <f t="shared" si="2"/>
        <v>1.5864998118003504E-2</v>
      </c>
      <c r="L14" s="79">
        <f t="shared" si="7"/>
        <v>17265</v>
      </c>
      <c r="M14" s="196">
        <f t="shared" si="8"/>
        <v>1750</v>
      </c>
      <c r="N14" s="196"/>
      <c r="O14" s="242">
        <f t="shared" si="9"/>
        <v>15515</v>
      </c>
      <c r="P14" s="118">
        <f t="shared" si="6"/>
        <v>3679</v>
      </c>
      <c r="Q14" s="80">
        <f t="shared" si="3"/>
        <v>450</v>
      </c>
      <c r="R14" s="181">
        <f t="shared" ref="R14:R27" si="10">(O14-W14)/W14</f>
        <v>2.9870560902754729E-2</v>
      </c>
      <c r="S14" s="78"/>
      <c r="T14" s="194">
        <v>16815</v>
      </c>
      <c r="U14" s="196">
        <v>1750</v>
      </c>
      <c r="V14" s="196"/>
      <c r="W14" s="195">
        <v>15065</v>
      </c>
      <c r="X14" s="231">
        <v>3600</v>
      </c>
      <c r="Z14" s="176"/>
      <c r="AA14" s="257"/>
      <c r="AB14" s="80"/>
      <c r="AC14" s="80"/>
      <c r="AD14" s="258"/>
      <c r="AE14" s="80"/>
      <c r="AF14" s="258"/>
      <c r="AG14" s="258"/>
      <c r="AH14" s="257"/>
      <c r="AI14" s="80"/>
    </row>
    <row r="15" spans="1:36">
      <c r="A15" s="96">
        <v>7</v>
      </c>
      <c r="B15" s="128" t="s">
        <v>197</v>
      </c>
      <c r="C15" s="279">
        <v>65851</v>
      </c>
      <c r="D15" s="271">
        <v>72801</v>
      </c>
      <c r="E15" s="208">
        <v>25824</v>
      </c>
      <c r="F15" s="175">
        <f t="shared" si="0"/>
        <v>1.8548272986563565E-2</v>
      </c>
      <c r="G15" s="202">
        <v>47225</v>
      </c>
      <c r="H15" s="175">
        <f t="shared" si="1"/>
        <v>1.4942000674565283E-2</v>
      </c>
      <c r="I15" s="202">
        <f t="shared" si="4"/>
        <v>73049</v>
      </c>
      <c r="J15" s="272">
        <f t="shared" si="5"/>
        <v>70567</v>
      </c>
      <c r="K15" s="177">
        <f t="shared" si="2"/>
        <v>1.6395907006138563E-2</v>
      </c>
      <c r="L15" s="79">
        <f t="shared" si="7"/>
        <v>17843</v>
      </c>
      <c r="M15" s="196">
        <f t="shared" si="8"/>
        <v>1750</v>
      </c>
      <c r="N15" s="196"/>
      <c r="O15" s="242">
        <f t="shared" si="9"/>
        <v>16093</v>
      </c>
      <c r="P15" s="118">
        <f t="shared" si="6"/>
        <v>3802</v>
      </c>
      <c r="Q15" s="80">
        <f t="shared" si="3"/>
        <v>638</v>
      </c>
      <c r="R15" s="181">
        <f t="shared" si="10"/>
        <v>4.1281138790035588E-2</v>
      </c>
      <c r="S15" s="78"/>
      <c r="T15" s="194">
        <v>17205</v>
      </c>
      <c r="U15" s="196">
        <v>1750</v>
      </c>
      <c r="V15" s="196"/>
      <c r="W15" s="195">
        <v>15455</v>
      </c>
      <c r="X15" s="231">
        <v>3684</v>
      </c>
      <c r="Z15" s="176"/>
      <c r="AA15" s="257"/>
      <c r="AB15" s="80"/>
      <c r="AC15" s="80"/>
      <c r="AD15" s="258"/>
      <c r="AE15" s="80"/>
      <c r="AF15" s="258"/>
      <c r="AG15" s="258"/>
      <c r="AH15" s="257"/>
      <c r="AI15" s="80"/>
    </row>
    <row r="16" spans="1:36">
      <c r="A16" s="96">
        <v>8</v>
      </c>
      <c r="B16" s="72" t="s">
        <v>198</v>
      </c>
      <c r="C16" s="279">
        <v>30818</v>
      </c>
      <c r="D16" s="271">
        <v>33802</v>
      </c>
      <c r="E16" s="208">
        <v>11702</v>
      </c>
      <c r="F16" s="175">
        <f t="shared" si="0"/>
        <v>8.4050453256182944E-3</v>
      </c>
      <c r="G16" s="202">
        <v>23772</v>
      </c>
      <c r="H16" s="175">
        <f t="shared" si="1"/>
        <v>7.5214661733354346E-3</v>
      </c>
      <c r="I16" s="202">
        <f t="shared" si="4"/>
        <v>35474</v>
      </c>
      <c r="J16" s="272">
        <f t="shared" si="5"/>
        <v>33365</v>
      </c>
      <c r="K16" s="177">
        <f t="shared" si="2"/>
        <v>7.7521991477576364E-3</v>
      </c>
      <c r="L16" s="79">
        <f t="shared" si="7"/>
        <v>8436</v>
      </c>
      <c r="M16" s="196">
        <f t="shared" si="8"/>
        <v>1750</v>
      </c>
      <c r="N16" s="196"/>
      <c r="O16" s="242">
        <f t="shared" si="9"/>
        <v>6686</v>
      </c>
      <c r="P16" s="118">
        <f t="shared" si="6"/>
        <v>1798</v>
      </c>
      <c r="Q16" s="80">
        <f t="shared" si="3"/>
        <v>580</v>
      </c>
      <c r="R16" s="181">
        <f t="shared" si="10"/>
        <v>9.4988535866360954E-2</v>
      </c>
      <c r="S16" s="78"/>
      <c r="T16" s="194">
        <v>7856</v>
      </c>
      <c r="U16" s="196">
        <v>1750</v>
      </c>
      <c r="V16" s="196"/>
      <c r="W16" s="195">
        <v>6106</v>
      </c>
      <c r="X16" s="231">
        <v>1682</v>
      </c>
      <c r="Z16" s="176"/>
      <c r="AA16" s="257"/>
      <c r="AB16" s="80"/>
      <c r="AC16" s="80"/>
      <c r="AD16" s="258"/>
      <c r="AE16" s="80"/>
      <c r="AF16" s="258"/>
      <c r="AG16" s="258"/>
      <c r="AH16" s="257"/>
      <c r="AI16" s="80"/>
    </row>
    <row r="17" spans="1:35">
      <c r="A17" s="96">
        <v>9</v>
      </c>
      <c r="B17" s="128" t="s">
        <v>199</v>
      </c>
      <c r="C17" s="279">
        <v>30961</v>
      </c>
      <c r="D17" s="271">
        <v>31639</v>
      </c>
      <c r="E17" s="208">
        <v>18981</v>
      </c>
      <c r="F17" s="175">
        <f t="shared" si="0"/>
        <v>1.3633239217703028E-2</v>
      </c>
      <c r="G17" s="202">
        <v>14490</v>
      </c>
      <c r="H17" s="175">
        <f t="shared" si="1"/>
        <v>4.5846392752662982E-3</v>
      </c>
      <c r="I17" s="202">
        <f t="shared" si="4"/>
        <v>33471</v>
      </c>
      <c r="J17" s="272">
        <f t="shared" si="5"/>
        <v>32024</v>
      </c>
      <c r="K17" s="177">
        <f t="shared" si="2"/>
        <v>7.4406241722700592E-3</v>
      </c>
      <c r="L17" s="79">
        <f t="shared" si="7"/>
        <v>8097</v>
      </c>
      <c r="M17" s="196">
        <f t="shared" si="8"/>
        <v>1750</v>
      </c>
      <c r="N17" s="196"/>
      <c r="O17" s="242">
        <f t="shared" si="9"/>
        <v>6347</v>
      </c>
      <c r="P17" s="118">
        <f t="shared" si="6"/>
        <v>1726</v>
      </c>
      <c r="Q17" s="80">
        <f t="shared" si="3"/>
        <v>301</v>
      </c>
      <c r="R17" s="181">
        <f t="shared" si="10"/>
        <v>4.9784981806152831E-2</v>
      </c>
      <c r="S17" s="78"/>
      <c r="T17" s="194">
        <v>7796</v>
      </c>
      <c r="U17" s="196">
        <v>1750</v>
      </c>
      <c r="V17" s="196"/>
      <c r="W17" s="195">
        <v>6046</v>
      </c>
      <c r="X17" s="231">
        <v>1669</v>
      </c>
      <c r="Z17" s="176"/>
      <c r="AA17" s="257"/>
      <c r="AB17" s="80"/>
      <c r="AC17" s="80"/>
      <c r="AD17" s="258"/>
      <c r="AE17" s="80"/>
      <c r="AF17" s="258"/>
      <c r="AG17" s="258"/>
      <c r="AH17" s="257"/>
      <c r="AI17" s="80"/>
    </row>
    <row r="18" spans="1:35">
      <c r="A18" s="96">
        <v>10</v>
      </c>
      <c r="B18" s="128" t="s">
        <v>200</v>
      </c>
      <c r="C18" s="279">
        <v>28919</v>
      </c>
      <c r="D18" s="271">
        <v>32221</v>
      </c>
      <c r="E18" s="208">
        <v>12413</v>
      </c>
      <c r="F18" s="175">
        <f t="shared" si="0"/>
        <v>8.9157261687660121E-3</v>
      </c>
      <c r="G18" s="202">
        <v>15342</v>
      </c>
      <c r="H18" s="175">
        <f t="shared" si="1"/>
        <v>4.8542122678492438E-3</v>
      </c>
      <c r="I18" s="202">
        <f t="shared" si="4"/>
        <v>27755</v>
      </c>
      <c r="J18" s="272">
        <f t="shared" si="5"/>
        <v>29632</v>
      </c>
      <c r="K18" s="177">
        <f t="shared" si="2"/>
        <v>6.8848543427650014E-3</v>
      </c>
      <c r="L18" s="79">
        <f t="shared" si="7"/>
        <v>7492</v>
      </c>
      <c r="M18" s="196">
        <f t="shared" si="8"/>
        <v>1750</v>
      </c>
      <c r="N18" s="196"/>
      <c r="O18" s="242">
        <f t="shared" si="9"/>
        <v>5742</v>
      </c>
      <c r="P18" s="118">
        <f t="shared" si="6"/>
        <v>1597</v>
      </c>
      <c r="Q18" s="80">
        <f t="shared" si="3"/>
        <v>-268</v>
      </c>
      <c r="R18" s="181">
        <f t="shared" si="10"/>
        <v>-4.459234608985025E-2</v>
      </c>
      <c r="S18" s="78"/>
      <c r="T18" s="194">
        <v>7760</v>
      </c>
      <c r="U18" s="196">
        <v>1750</v>
      </c>
      <c r="V18" s="196"/>
      <c r="W18" s="195">
        <v>6010</v>
      </c>
      <c r="X18" s="231">
        <v>1661</v>
      </c>
      <c r="Z18" s="176"/>
      <c r="AA18" s="257"/>
      <c r="AB18" s="80"/>
      <c r="AC18" s="80"/>
      <c r="AD18" s="258"/>
      <c r="AE18" s="80"/>
      <c r="AF18" s="258"/>
      <c r="AG18" s="258"/>
      <c r="AH18" s="257"/>
      <c r="AI18" s="80"/>
    </row>
    <row r="19" spans="1:35" ht="12.75" customHeight="1">
      <c r="A19" s="96">
        <v>11</v>
      </c>
      <c r="B19" s="128" t="s">
        <v>201</v>
      </c>
      <c r="C19" s="279">
        <v>31323</v>
      </c>
      <c r="D19" s="271">
        <v>31983</v>
      </c>
      <c r="E19" s="208">
        <v>10584</v>
      </c>
      <c r="F19" s="175">
        <f t="shared" si="0"/>
        <v>7.6020338169837656E-3</v>
      </c>
      <c r="G19" s="202">
        <v>21535</v>
      </c>
      <c r="H19" s="175">
        <f t="shared" si="1"/>
        <v>6.813678867692183E-3</v>
      </c>
      <c r="I19" s="202">
        <f t="shared" si="4"/>
        <v>32119</v>
      </c>
      <c r="J19" s="272">
        <f t="shared" si="5"/>
        <v>31808</v>
      </c>
      <c r="K19" s="177">
        <f t="shared" si="2"/>
        <v>7.3904375990371616E-3</v>
      </c>
      <c r="L19" s="79">
        <f t="shared" si="7"/>
        <v>8043</v>
      </c>
      <c r="M19" s="196">
        <f t="shared" si="8"/>
        <v>1750</v>
      </c>
      <c r="N19" s="196"/>
      <c r="O19" s="242">
        <f t="shared" si="9"/>
        <v>6293</v>
      </c>
      <c r="P19" s="118">
        <f t="shared" si="6"/>
        <v>1714</v>
      </c>
      <c r="Q19" s="80">
        <f t="shared" si="3"/>
        <v>636</v>
      </c>
      <c r="R19" s="181">
        <f t="shared" si="10"/>
        <v>0.11242708149195686</v>
      </c>
      <c r="S19" s="78"/>
      <c r="T19" s="194">
        <v>7407</v>
      </c>
      <c r="U19" s="196">
        <v>1750</v>
      </c>
      <c r="V19" s="196"/>
      <c r="W19" s="195">
        <v>5657</v>
      </c>
      <c r="X19" s="231">
        <v>1586</v>
      </c>
      <c r="Z19" s="176"/>
      <c r="AA19" s="257"/>
      <c r="AB19" s="80"/>
      <c r="AC19" s="80"/>
      <c r="AD19" s="258"/>
      <c r="AE19" s="80"/>
      <c r="AF19" s="258"/>
      <c r="AG19" s="258"/>
      <c r="AH19" s="257"/>
      <c r="AI19" s="80"/>
    </row>
    <row r="20" spans="1:35" ht="12" customHeight="1">
      <c r="A20" s="96">
        <v>12</v>
      </c>
      <c r="B20" s="72" t="s">
        <v>202</v>
      </c>
      <c r="C20" s="279">
        <v>16037</v>
      </c>
      <c r="D20" s="271">
        <v>15545</v>
      </c>
      <c r="E20" s="208">
        <v>9599</v>
      </c>
      <c r="F20" s="175">
        <f t="shared" si="0"/>
        <v>6.8945505110758849E-3</v>
      </c>
      <c r="G20" s="202">
        <v>6119</v>
      </c>
      <c r="H20" s="175">
        <f t="shared" si="1"/>
        <v>1.9360529831162511E-3</v>
      </c>
      <c r="I20" s="202">
        <f t="shared" si="4"/>
        <v>15718</v>
      </c>
      <c r="J20" s="272">
        <f t="shared" si="5"/>
        <v>15767</v>
      </c>
      <c r="K20" s="177">
        <f t="shared" si="2"/>
        <v>3.663387500755122E-3</v>
      </c>
      <c r="L20" s="79">
        <f t="shared" si="7"/>
        <v>3987</v>
      </c>
      <c r="M20" s="196">
        <f t="shared" si="8"/>
        <v>1750</v>
      </c>
      <c r="N20" s="196"/>
      <c r="O20" s="242">
        <f t="shared" si="9"/>
        <v>2237</v>
      </c>
      <c r="P20" s="118">
        <f t="shared" si="6"/>
        <v>850</v>
      </c>
      <c r="Q20" s="80">
        <f t="shared" si="3"/>
        <v>-126</v>
      </c>
      <c r="R20" s="181">
        <f t="shared" si="10"/>
        <v>-5.3322048243757934E-2</v>
      </c>
      <c r="S20" s="78"/>
      <c r="T20" s="194">
        <v>4113</v>
      </c>
      <c r="U20" s="196">
        <v>1750</v>
      </c>
      <c r="V20" s="196"/>
      <c r="W20" s="195">
        <v>2363</v>
      </c>
      <c r="X20" s="231">
        <v>881</v>
      </c>
      <c r="Z20" s="176"/>
      <c r="AA20" s="257"/>
      <c r="AB20" s="80"/>
      <c r="AC20" s="80"/>
      <c r="AD20" s="258"/>
      <c r="AE20" s="80"/>
      <c r="AF20" s="258"/>
      <c r="AG20" s="258"/>
      <c r="AH20" s="257"/>
      <c r="AI20" s="80"/>
    </row>
    <row r="21" spans="1:35">
      <c r="A21" s="96">
        <v>13</v>
      </c>
      <c r="B21" s="128" t="s">
        <v>203</v>
      </c>
      <c r="C21" s="279">
        <v>41791</v>
      </c>
      <c r="D21" s="271">
        <v>48619</v>
      </c>
      <c r="E21" s="208">
        <v>16496</v>
      </c>
      <c r="F21" s="175">
        <f t="shared" si="0"/>
        <v>1.1848370166757766E-2</v>
      </c>
      <c r="G21" s="202">
        <v>33030</v>
      </c>
      <c r="H21" s="175">
        <f t="shared" si="1"/>
        <v>1.0450699465979698E-2</v>
      </c>
      <c r="I21" s="202">
        <f t="shared" si="4"/>
        <v>49526</v>
      </c>
      <c r="J21" s="272">
        <f t="shared" si="5"/>
        <v>46645</v>
      </c>
      <c r="K21" s="177">
        <f t="shared" si="2"/>
        <v>1.0837744020595083E-2</v>
      </c>
      <c r="L21" s="79">
        <f t="shared" si="7"/>
        <v>11794</v>
      </c>
      <c r="M21" s="196">
        <f t="shared" si="8"/>
        <v>1750</v>
      </c>
      <c r="N21" s="196"/>
      <c r="O21" s="242">
        <f t="shared" si="9"/>
        <v>10044</v>
      </c>
      <c r="P21" s="118">
        <f t="shared" si="6"/>
        <v>2513</v>
      </c>
      <c r="Q21" s="80">
        <f t="shared" si="3"/>
        <v>963</v>
      </c>
      <c r="R21" s="181">
        <f t="shared" si="10"/>
        <v>0.10604558969276512</v>
      </c>
      <c r="S21" s="78"/>
      <c r="T21" s="194">
        <v>10831</v>
      </c>
      <c r="U21" s="196">
        <v>1750</v>
      </c>
      <c r="V21" s="196"/>
      <c r="W21" s="195">
        <v>9081</v>
      </c>
      <c r="X21" s="231">
        <v>2319</v>
      </c>
      <c r="Z21" s="176"/>
      <c r="AA21" s="257"/>
      <c r="AB21" s="80"/>
      <c r="AC21" s="80"/>
      <c r="AD21" s="258"/>
      <c r="AE21" s="80"/>
      <c r="AF21" s="258"/>
      <c r="AG21" s="258"/>
      <c r="AH21" s="257"/>
      <c r="AI21" s="80"/>
    </row>
    <row r="22" spans="1:35">
      <c r="A22" s="96">
        <v>14</v>
      </c>
      <c r="B22" s="72" t="s">
        <v>204</v>
      </c>
      <c r="C22" s="279">
        <v>248622</v>
      </c>
      <c r="D22" s="271">
        <v>298871</v>
      </c>
      <c r="E22" s="208">
        <v>99739</v>
      </c>
      <c r="F22" s="175">
        <f t="shared" si="0"/>
        <v>7.1638251216188942E-2</v>
      </c>
      <c r="G22" s="202">
        <v>201021</v>
      </c>
      <c r="H22" s="175">
        <f t="shared" si="1"/>
        <v>6.3603089838047383E-2</v>
      </c>
      <c r="I22" s="202">
        <f t="shared" si="4"/>
        <v>300760</v>
      </c>
      <c r="J22" s="272">
        <f t="shared" si="5"/>
        <v>282751</v>
      </c>
      <c r="K22" s="177">
        <f t="shared" si="2"/>
        <v>6.5695850778588916E-2</v>
      </c>
      <c r="L22" s="79">
        <f t="shared" si="7"/>
        <v>71493</v>
      </c>
      <c r="M22" s="196">
        <f t="shared" si="8"/>
        <v>1750</v>
      </c>
      <c r="N22" s="238">
        <f>K71*M3</f>
        <v>3460.7457151366543</v>
      </c>
      <c r="O22" s="242">
        <f t="shared" si="9"/>
        <v>66282.254284863346</v>
      </c>
      <c r="P22" s="118">
        <f t="shared" si="6"/>
        <v>15236</v>
      </c>
      <c r="Q22" s="80">
        <f t="shared" si="3"/>
        <v>6926.1456188664306</v>
      </c>
      <c r="R22" s="181">
        <f t="shared" si="10"/>
        <v>0.11668800018277112</v>
      </c>
      <c r="S22" s="78"/>
      <c r="T22" s="194">
        <v>65776</v>
      </c>
      <c r="U22" s="196">
        <v>1750</v>
      </c>
      <c r="V22" s="196">
        <v>4669.8913340030858</v>
      </c>
      <c r="W22" s="195">
        <v>59356.108665996915</v>
      </c>
      <c r="X22" s="231">
        <v>14084</v>
      </c>
      <c r="Z22" s="176"/>
      <c r="AA22" s="257"/>
      <c r="AB22" s="80"/>
      <c r="AC22" s="80"/>
      <c r="AD22" s="258"/>
      <c r="AE22" s="80"/>
      <c r="AF22" s="258"/>
      <c r="AG22" s="258"/>
      <c r="AH22" s="257"/>
      <c r="AI22" s="80"/>
    </row>
    <row r="23" spans="1:35">
      <c r="A23" s="96">
        <v>15</v>
      </c>
      <c r="B23" s="72" t="s">
        <v>205</v>
      </c>
      <c r="C23" s="279">
        <v>35807</v>
      </c>
      <c r="D23" s="271">
        <v>40348</v>
      </c>
      <c r="E23" s="208">
        <v>21298</v>
      </c>
      <c r="F23" s="175">
        <f t="shared" si="0"/>
        <v>1.5297441065204103E-2</v>
      </c>
      <c r="G23" s="202">
        <v>21609</v>
      </c>
      <c r="H23" s="175">
        <f t="shared" si="1"/>
        <v>6.8370924844188708E-3</v>
      </c>
      <c r="I23" s="202">
        <f t="shared" si="4"/>
        <v>42907</v>
      </c>
      <c r="J23" s="272">
        <f t="shared" si="5"/>
        <v>39687</v>
      </c>
      <c r="K23" s="177">
        <f t="shared" si="2"/>
        <v>9.221085795805703E-3</v>
      </c>
      <c r="L23" s="79">
        <f t="shared" si="7"/>
        <v>10035</v>
      </c>
      <c r="M23" s="196">
        <f t="shared" si="8"/>
        <v>1750</v>
      </c>
      <c r="N23" s="196"/>
      <c r="O23" s="242">
        <f t="shared" si="9"/>
        <v>8285</v>
      </c>
      <c r="P23" s="118">
        <f t="shared" si="6"/>
        <v>2138</v>
      </c>
      <c r="Q23" s="80">
        <f t="shared" si="3"/>
        <v>597</v>
      </c>
      <c r="R23" s="181">
        <f t="shared" si="10"/>
        <v>7.76534859521332E-2</v>
      </c>
      <c r="S23" s="78"/>
      <c r="T23" s="194">
        <v>9438</v>
      </c>
      <c r="U23" s="196">
        <v>1750</v>
      </c>
      <c r="V23" s="196"/>
      <c r="W23" s="195">
        <v>7688</v>
      </c>
      <c r="X23" s="231">
        <v>2021</v>
      </c>
      <c r="Z23" s="176"/>
      <c r="AA23" s="257"/>
      <c r="AB23" s="80"/>
      <c r="AC23" s="80"/>
      <c r="AD23" s="258"/>
      <c r="AE23" s="80"/>
      <c r="AF23" s="258"/>
      <c r="AG23" s="258"/>
      <c r="AH23" s="257"/>
      <c r="AI23" s="80"/>
    </row>
    <row r="24" spans="1:35">
      <c r="A24" s="96">
        <v>16</v>
      </c>
      <c r="B24" s="72" t="s">
        <v>206</v>
      </c>
      <c r="C24" s="279">
        <v>44261</v>
      </c>
      <c r="D24" s="271">
        <v>41860</v>
      </c>
      <c r="E24" s="208">
        <v>11073</v>
      </c>
      <c r="F24" s="175">
        <f t="shared" si="0"/>
        <v>7.953261569865951E-3</v>
      </c>
      <c r="G24" s="202">
        <v>31361</v>
      </c>
      <c r="H24" s="175">
        <f t="shared" si="1"/>
        <v>9.9226274887250776E-3</v>
      </c>
      <c r="I24" s="202">
        <f t="shared" si="4"/>
        <v>42434</v>
      </c>
      <c r="J24" s="272">
        <f t="shared" si="5"/>
        <v>42852</v>
      </c>
      <c r="K24" s="177">
        <f t="shared" si="2"/>
        <v>9.956458500815531E-3</v>
      </c>
      <c r="L24" s="79">
        <f t="shared" si="7"/>
        <v>10835</v>
      </c>
      <c r="M24" s="196">
        <f t="shared" si="8"/>
        <v>1750</v>
      </c>
      <c r="N24" s="196"/>
      <c r="O24" s="242">
        <f t="shared" si="9"/>
        <v>9085</v>
      </c>
      <c r="P24" s="118">
        <f t="shared" si="6"/>
        <v>2309</v>
      </c>
      <c r="Q24" s="80">
        <f t="shared" si="3"/>
        <v>10</v>
      </c>
      <c r="R24" s="181">
        <f t="shared" si="10"/>
        <v>1.1019283746556473E-3</v>
      </c>
      <c r="S24" s="78"/>
      <c r="T24" s="194">
        <v>10825</v>
      </c>
      <c r="U24" s="196">
        <v>1750</v>
      </c>
      <c r="V24" s="196"/>
      <c r="W24" s="195">
        <v>9075</v>
      </c>
      <c r="X24" s="231">
        <v>2318</v>
      </c>
      <c r="Z24" s="176"/>
      <c r="AA24" s="257"/>
      <c r="AB24" s="80"/>
      <c r="AC24" s="80"/>
      <c r="AD24" s="258"/>
      <c r="AE24" s="80"/>
      <c r="AF24" s="258"/>
      <c r="AG24" s="258"/>
      <c r="AH24" s="257"/>
      <c r="AI24" s="80"/>
    </row>
    <row r="25" spans="1:35">
      <c r="A25" s="96">
        <v>17</v>
      </c>
      <c r="B25" s="128" t="s">
        <v>355</v>
      </c>
      <c r="C25" s="279">
        <v>30403</v>
      </c>
      <c r="D25" s="271">
        <v>28874</v>
      </c>
      <c r="E25" s="208">
        <v>12705</v>
      </c>
      <c r="F25" s="175">
        <f t="shared" si="0"/>
        <v>9.1254572604666222E-3</v>
      </c>
      <c r="G25" s="202">
        <v>6333</v>
      </c>
      <c r="H25" s="175">
        <f t="shared" si="1"/>
        <v>2.0037626314880238E-3</v>
      </c>
      <c r="I25" s="202">
        <f t="shared" si="4"/>
        <v>19038</v>
      </c>
      <c r="J25" s="272">
        <f t="shared" si="5"/>
        <v>26105</v>
      </c>
      <c r="K25" s="177">
        <f t="shared" si="2"/>
        <v>6.0653726585407786E-3</v>
      </c>
      <c r="L25" s="79">
        <f t="shared" si="7"/>
        <v>6601</v>
      </c>
      <c r="M25" s="196">
        <f t="shared" si="8"/>
        <v>1750</v>
      </c>
      <c r="N25" s="196"/>
      <c r="O25" s="242">
        <f t="shared" ref="O25" si="11">L25-M25-N25</f>
        <v>4851</v>
      </c>
      <c r="P25" s="118">
        <f t="shared" ref="P25" si="12">ROUND(K25*$H$5,0)</f>
        <v>1407</v>
      </c>
      <c r="Q25" s="80">
        <f t="shared" ref="Q25" si="13">O25-W25</f>
        <v>-1107</v>
      </c>
      <c r="R25" s="181">
        <f t="shared" si="10"/>
        <v>-0.18580060422960726</v>
      </c>
      <c r="S25" s="78"/>
      <c r="T25" s="194">
        <v>7708</v>
      </c>
      <c r="U25" s="196">
        <v>1750</v>
      </c>
      <c r="V25" s="196"/>
      <c r="W25" s="195">
        <v>5958</v>
      </c>
      <c r="X25" s="231">
        <v>1650</v>
      </c>
      <c r="Z25" s="176"/>
      <c r="AA25" s="257"/>
      <c r="AB25" s="80"/>
      <c r="AC25" s="80"/>
      <c r="AD25" s="258"/>
      <c r="AE25" s="80"/>
      <c r="AF25" s="258"/>
      <c r="AG25" s="258"/>
      <c r="AH25" s="257"/>
      <c r="AI25" s="80"/>
    </row>
    <row r="26" spans="1:35">
      <c r="A26" s="96">
        <v>18</v>
      </c>
      <c r="B26" s="128" t="s">
        <v>207</v>
      </c>
      <c r="C26" s="279">
        <v>76838</v>
      </c>
      <c r="D26" s="271">
        <v>75535</v>
      </c>
      <c r="E26" s="208">
        <v>29440</v>
      </c>
      <c r="F26" s="175">
        <f t="shared" si="0"/>
        <v>2.114549088926701E-2</v>
      </c>
      <c r="G26" s="202">
        <v>51073</v>
      </c>
      <c r="H26" s="175">
        <f t="shared" si="1"/>
        <v>1.6159508744353047E-2</v>
      </c>
      <c r="I26" s="202">
        <f t="shared" si="4"/>
        <v>80513</v>
      </c>
      <c r="J26" s="272">
        <f t="shared" si="5"/>
        <v>77629</v>
      </c>
      <c r="K26" s="177">
        <f t="shared" si="2"/>
        <v>1.8036729136558596E-2</v>
      </c>
      <c r="L26" s="79">
        <f t="shared" si="7"/>
        <v>19628</v>
      </c>
      <c r="M26" s="196">
        <f t="shared" si="8"/>
        <v>1750</v>
      </c>
      <c r="N26" s="196"/>
      <c r="O26" s="242">
        <f t="shared" si="9"/>
        <v>17878</v>
      </c>
      <c r="P26" s="118">
        <f t="shared" si="6"/>
        <v>4183</v>
      </c>
      <c r="Q26" s="80">
        <f t="shared" si="3"/>
        <v>629</v>
      </c>
      <c r="R26" s="181">
        <f t="shared" si="10"/>
        <v>3.6465882080120589E-2</v>
      </c>
      <c r="S26" s="78"/>
      <c r="T26" s="194">
        <v>18999</v>
      </c>
      <c r="U26" s="196">
        <v>1750</v>
      </c>
      <c r="V26" s="196"/>
      <c r="W26" s="195">
        <v>17249</v>
      </c>
      <c r="X26" s="231">
        <v>4068</v>
      </c>
      <c r="Z26" s="176"/>
      <c r="AA26" s="257"/>
      <c r="AB26" s="80"/>
      <c r="AC26" s="80"/>
      <c r="AD26" s="258"/>
      <c r="AE26" s="80"/>
      <c r="AF26" s="258"/>
      <c r="AG26" s="258"/>
      <c r="AH26" s="257"/>
      <c r="AI26" s="80"/>
    </row>
    <row r="27" spans="1:35">
      <c r="A27" s="96">
        <v>19</v>
      </c>
      <c r="B27" s="128" t="s">
        <v>336</v>
      </c>
      <c r="C27" s="279">
        <v>22893</v>
      </c>
      <c r="D27" s="271">
        <v>20807</v>
      </c>
      <c r="E27" s="208">
        <v>15403</v>
      </c>
      <c r="F27" s="175">
        <f t="shared" si="0"/>
        <v>1.1063315087207194E-2</v>
      </c>
      <c r="G27" s="202">
        <v>8224</v>
      </c>
      <c r="H27" s="175">
        <f t="shared" si="1"/>
        <v>2.6020754589227077E-3</v>
      </c>
      <c r="I27" s="202">
        <f t="shared" si="4"/>
        <v>23627</v>
      </c>
      <c r="J27" s="272">
        <f t="shared" si="5"/>
        <v>22442</v>
      </c>
      <c r="K27" s="291">
        <f t="shared" si="2"/>
        <v>5.2142920207995467E-3</v>
      </c>
      <c r="L27" s="79">
        <f t="shared" si="7"/>
        <v>5674</v>
      </c>
      <c r="M27" s="196">
        <v>0</v>
      </c>
      <c r="N27" s="196"/>
      <c r="O27" s="242">
        <f t="shared" si="9"/>
        <v>5674</v>
      </c>
      <c r="P27" s="118">
        <f t="shared" si="6"/>
        <v>1209</v>
      </c>
      <c r="Q27" s="290" t="s">
        <v>322</v>
      </c>
      <c r="R27" s="181">
        <f t="shared" si="10"/>
        <v>7.9943151536685016E-3</v>
      </c>
      <c r="S27" s="78"/>
      <c r="T27" s="194">
        <v>5629</v>
      </c>
      <c r="U27" s="196">
        <v>0</v>
      </c>
      <c r="V27" s="196"/>
      <c r="W27" s="195">
        <v>5629</v>
      </c>
      <c r="X27" s="231">
        <v>1205</v>
      </c>
      <c r="Z27" s="176"/>
      <c r="AA27" s="257"/>
      <c r="AB27" s="80"/>
      <c r="AC27" s="80"/>
      <c r="AD27" s="258"/>
      <c r="AE27" s="80"/>
      <c r="AF27" s="258"/>
      <c r="AG27" s="258"/>
      <c r="AH27" s="257"/>
      <c r="AI27" s="80"/>
    </row>
    <row r="28" spans="1:35">
      <c r="A28" s="96">
        <v>20</v>
      </c>
      <c r="B28" s="72" t="s">
        <v>208</v>
      </c>
      <c r="C28" s="279">
        <v>17592</v>
      </c>
      <c r="D28" s="271">
        <v>20335</v>
      </c>
      <c r="E28" s="208">
        <v>10577</v>
      </c>
      <c r="F28" s="175">
        <f t="shared" si="0"/>
        <v>7.5970060168402574E-3</v>
      </c>
      <c r="G28" s="202">
        <v>8284</v>
      </c>
      <c r="H28" s="175">
        <f t="shared" si="1"/>
        <v>2.621059472484887E-3</v>
      </c>
      <c r="I28" s="202">
        <f t="shared" si="4"/>
        <v>18861</v>
      </c>
      <c r="J28" s="272">
        <f t="shared" si="5"/>
        <v>18929</v>
      </c>
      <c r="K28" s="177">
        <f t="shared" si="2"/>
        <v>4.3980631700256045E-3</v>
      </c>
      <c r="L28" s="79">
        <f t="shared" si="7"/>
        <v>4786</v>
      </c>
      <c r="M28" s="196">
        <f t="shared" si="8"/>
        <v>1750</v>
      </c>
      <c r="N28" s="196"/>
      <c r="O28" s="242">
        <f t="shared" si="9"/>
        <v>3036</v>
      </c>
      <c r="P28" s="118">
        <f t="shared" si="6"/>
        <v>1020</v>
      </c>
      <c r="Q28" s="80">
        <f t="shared" si="3"/>
        <v>204</v>
      </c>
      <c r="R28" s="181">
        <f t="shared" ref="R28:R41" si="14">(O28-W28)/W28</f>
        <v>7.2033898305084748E-2</v>
      </c>
      <c r="S28" s="78"/>
      <c r="T28" s="194">
        <v>4582</v>
      </c>
      <c r="U28" s="196">
        <v>1750</v>
      </c>
      <c r="V28" s="196"/>
      <c r="W28" s="195">
        <v>2832</v>
      </c>
      <c r="X28" s="231">
        <v>981</v>
      </c>
      <c r="Z28" s="176"/>
      <c r="AA28" s="257"/>
      <c r="AB28" s="80"/>
      <c r="AC28" s="80"/>
      <c r="AD28" s="258"/>
      <c r="AE28" s="80"/>
      <c r="AF28" s="258"/>
      <c r="AG28" s="258"/>
      <c r="AH28" s="257"/>
      <c r="AI28" s="80"/>
    </row>
    <row r="29" spans="1:35">
      <c r="A29" s="96">
        <v>21</v>
      </c>
      <c r="B29" s="72" t="s">
        <v>209</v>
      </c>
      <c r="C29" s="279">
        <v>16450</v>
      </c>
      <c r="D29" s="271">
        <v>17980</v>
      </c>
      <c r="E29" s="208">
        <v>8858</v>
      </c>
      <c r="F29" s="175">
        <f t="shared" si="0"/>
        <v>6.362321953027418E-3</v>
      </c>
      <c r="G29" s="202">
        <v>11223</v>
      </c>
      <c r="H29" s="175">
        <f t="shared" si="1"/>
        <v>3.5509597368056358E-3</v>
      </c>
      <c r="I29" s="202">
        <f t="shared" si="4"/>
        <v>20081</v>
      </c>
      <c r="J29" s="272">
        <f t="shared" si="5"/>
        <v>18170</v>
      </c>
      <c r="K29" s="177">
        <f t="shared" si="2"/>
        <v>4.2217131279711148E-3</v>
      </c>
      <c r="L29" s="79">
        <f t="shared" si="7"/>
        <v>4594</v>
      </c>
      <c r="M29" s="196">
        <f t="shared" si="8"/>
        <v>1750</v>
      </c>
      <c r="N29" s="196"/>
      <c r="O29" s="242">
        <f t="shared" si="9"/>
        <v>2844</v>
      </c>
      <c r="P29" s="118">
        <f t="shared" si="6"/>
        <v>979</v>
      </c>
      <c r="Q29" s="80">
        <f t="shared" si="3"/>
        <v>117</v>
      </c>
      <c r="R29" s="181">
        <f t="shared" si="14"/>
        <v>4.2904290429042903E-2</v>
      </c>
      <c r="S29" s="78"/>
      <c r="T29" s="194">
        <v>4477</v>
      </c>
      <c r="U29" s="196">
        <v>1750</v>
      </c>
      <c r="V29" s="196"/>
      <c r="W29" s="195">
        <v>2727</v>
      </c>
      <c r="X29" s="231">
        <v>959</v>
      </c>
      <c r="Z29" s="176"/>
      <c r="AA29" s="257"/>
      <c r="AB29" s="80"/>
      <c r="AC29" s="80"/>
      <c r="AD29" s="258"/>
      <c r="AE29" s="80"/>
      <c r="AF29" s="258"/>
      <c r="AG29" s="258"/>
      <c r="AH29" s="257"/>
      <c r="AI29" s="80"/>
    </row>
    <row r="30" spans="1:35">
      <c r="A30" s="96">
        <v>22</v>
      </c>
      <c r="B30" s="128" t="s">
        <v>337</v>
      </c>
      <c r="C30" s="279">
        <v>58551</v>
      </c>
      <c r="D30" s="271">
        <v>45108</v>
      </c>
      <c r="E30" s="208">
        <v>19532</v>
      </c>
      <c r="F30" s="175">
        <f t="shared" si="0"/>
        <v>1.4028998914713426E-2</v>
      </c>
      <c r="G30" s="202">
        <v>23355</v>
      </c>
      <c r="H30" s="175">
        <f t="shared" si="1"/>
        <v>7.3895272790782882E-3</v>
      </c>
      <c r="I30" s="202">
        <f t="shared" si="4"/>
        <v>42887</v>
      </c>
      <c r="J30" s="272">
        <f t="shared" si="5"/>
        <v>48849</v>
      </c>
      <c r="K30" s="291">
        <f t="shared" si="2"/>
        <v>1.1349832943767804E-2</v>
      </c>
      <c r="L30" s="79">
        <f>ROUND(K30*$G$5,0)</f>
        <v>12351</v>
      </c>
      <c r="M30" s="196">
        <f>IF(L30&lt;($M$2*2), L30/2,$M$2)</f>
        <v>1750</v>
      </c>
      <c r="N30" s="196"/>
      <c r="O30" s="242">
        <f>L30-M30-N30</f>
        <v>10601</v>
      </c>
      <c r="P30" s="242">
        <f>ROUND(K30*$H$5,0)</f>
        <v>2632</v>
      </c>
      <c r="Q30" s="290" t="s">
        <v>322</v>
      </c>
      <c r="R30" s="181">
        <f t="shared" si="14"/>
        <v>-7.139103013314646E-2</v>
      </c>
      <c r="S30" s="78"/>
      <c r="T30" s="194">
        <v>13166</v>
      </c>
      <c r="U30" s="196">
        <v>1750</v>
      </c>
      <c r="V30" s="196"/>
      <c r="W30" s="195">
        <v>11416</v>
      </c>
      <c r="X30" s="231">
        <v>2819</v>
      </c>
      <c r="Z30" s="176"/>
      <c r="AA30" s="257"/>
      <c r="AB30" s="80"/>
      <c r="AC30" s="80"/>
      <c r="AD30" s="258"/>
      <c r="AE30" s="80"/>
      <c r="AF30" s="258"/>
      <c r="AG30" s="258"/>
      <c r="AH30" s="257"/>
      <c r="AI30" s="80"/>
    </row>
    <row r="31" spans="1:35" ht="12" customHeight="1">
      <c r="A31" s="96">
        <v>23</v>
      </c>
      <c r="B31" s="72" t="s">
        <v>166</v>
      </c>
      <c r="C31" s="279">
        <v>555406</v>
      </c>
      <c r="D31" s="271">
        <v>701011</v>
      </c>
      <c r="E31" s="208">
        <v>126474</v>
      </c>
      <c r="F31" s="175">
        <f t="shared" si="0"/>
        <v>9.0840856478571874E-2</v>
      </c>
      <c r="G31" s="202">
        <v>631869</v>
      </c>
      <c r="H31" s="175">
        <f t="shared" si="1"/>
        <v>0.19992349442534441</v>
      </c>
      <c r="I31" s="202">
        <f t="shared" si="4"/>
        <v>758343</v>
      </c>
      <c r="J31" s="272">
        <f t="shared" si="5"/>
        <v>671587</v>
      </c>
      <c r="K31" s="177">
        <f t="shared" si="2"/>
        <v>0.15604004702667787</v>
      </c>
      <c r="L31" s="79">
        <f t="shared" si="7"/>
        <v>169811</v>
      </c>
      <c r="M31" s="196">
        <f t="shared" si="8"/>
        <v>1750</v>
      </c>
      <c r="N31" s="238">
        <f>K70*M3</f>
        <v>8219.9243595654152</v>
      </c>
      <c r="O31" s="242">
        <f t="shared" si="9"/>
        <v>159841.07564043457</v>
      </c>
      <c r="P31" s="118">
        <f t="shared" si="6"/>
        <v>36188</v>
      </c>
      <c r="Q31" s="80">
        <f t="shared" si="3"/>
        <v>19993.307346560992</v>
      </c>
      <c r="R31" s="181">
        <f t="shared" si="14"/>
        <v>0.14296479372160889</v>
      </c>
      <c r="S31" s="78"/>
      <c r="T31" s="194">
        <v>152419</v>
      </c>
      <c r="U31" s="196">
        <v>1750</v>
      </c>
      <c r="V31" s="196">
        <v>10821.231706126411</v>
      </c>
      <c r="W31" s="195">
        <v>139847.76829387358</v>
      </c>
      <c r="X31" s="231">
        <v>32635</v>
      </c>
      <c r="Z31" s="176"/>
      <c r="AA31" s="257"/>
      <c r="AB31" s="80"/>
      <c r="AC31" s="80"/>
      <c r="AD31" s="258"/>
      <c r="AE31" s="80"/>
      <c r="AF31" s="258"/>
      <c r="AG31" s="258"/>
      <c r="AH31" s="257"/>
      <c r="AI31" s="80"/>
    </row>
    <row r="32" spans="1:35">
      <c r="A32" s="96">
        <v>24</v>
      </c>
      <c r="B32" s="72" t="s">
        <v>210</v>
      </c>
      <c r="C32" s="279">
        <v>65100</v>
      </c>
      <c r="D32" s="271">
        <v>72445</v>
      </c>
      <c r="E32" s="208">
        <v>24523</v>
      </c>
      <c r="F32" s="175">
        <f t="shared" si="0"/>
        <v>1.7613820417034475E-2</v>
      </c>
      <c r="G32" s="202">
        <v>64424</v>
      </c>
      <c r="H32" s="175">
        <f t="shared" si="1"/>
        <v>2.0383768162163977E-2</v>
      </c>
      <c r="I32" s="202">
        <f t="shared" si="4"/>
        <v>88947</v>
      </c>
      <c r="J32" s="272">
        <f t="shared" si="5"/>
        <v>75497</v>
      </c>
      <c r="K32" s="177">
        <f t="shared" si="2"/>
        <v>1.7541369071130172E-2</v>
      </c>
      <c r="L32" s="79">
        <f t="shared" si="7"/>
        <v>19089</v>
      </c>
      <c r="M32" s="196">
        <f t="shared" si="8"/>
        <v>1750</v>
      </c>
      <c r="N32" s="196"/>
      <c r="O32" s="242">
        <f t="shared" si="9"/>
        <v>17339</v>
      </c>
      <c r="P32" s="118">
        <f t="shared" si="6"/>
        <v>4068</v>
      </c>
      <c r="Q32" s="80">
        <f t="shared" si="3"/>
        <v>2458</v>
      </c>
      <c r="R32" s="181">
        <f t="shared" si="14"/>
        <v>0.1651770714333714</v>
      </c>
      <c r="S32" s="78"/>
      <c r="T32" s="194">
        <v>16631</v>
      </c>
      <c r="U32" s="196">
        <v>1750</v>
      </c>
      <c r="V32" s="196"/>
      <c r="W32" s="195">
        <v>14881</v>
      </c>
      <c r="X32" s="231">
        <v>3561</v>
      </c>
      <c r="Z32" s="176"/>
      <c r="AA32" s="257"/>
      <c r="AB32" s="80"/>
      <c r="AC32" s="80"/>
      <c r="AD32" s="258"/>
      <c r="AE32" s="80"/>
      <c r="AF32" s="258"/>
      <c r="AG32" s="258"/>
      <c r="AH32" s="257"/>
      <c r="AI32" s="80"/>
    </row>
    <row r="33" spans="1:35">
      <c r="A33" s="96">
        <v>25</v>
      </c>
      <c r="B33" s="72" t="s">
        <v>211</v>
      </c>
      <c r="C33" s="279">
        <v>19097</v>
      </c>
      <c r="D33" s="271">
        <v>19474</v>
      </c>
      <c r="E33" s="208">
        <v>7572</v>
      </c>
      <c r="F33" s="175">
        <f t="shared" si="0"/>
        <v>5.4386432409487028E-3</v>
      </c>
      <c r="G33" s="202">
        <v>11139</v>
      </c>
      <c r="H33" s="175">
        <f t="shared" si="1"/>
        <v>3.5243821178185851E-3</v>
      </c>
      <c r="I33" s="202">
        <f t="shared" si="4"/>
        <v>18711</v>
      </c>
      <c r="J33" s="272">
        <f t="shared" si="5"/>
        <v>19094</v>
      </c>
      <c r="K33" s="177">
        <f t="shared" si="2"/>
        <v>4.4364001356896237E-3</v>
      </c>
      <c r="L33" s="79">
        <f t="shared" si="7"/>
        <v>4828</v>
      </c>
      <c r="M33" s="196">
        <f t="shared" si="8"/>
        <v>1750</v>
      </c>
      <c r="N33" s="196"/>
      <c r="O33" s="242">
        <f t="shared" si="9"/>
        <v>3078</v>
      </c>
      <c r="P33" s="118">
        <f t="shared" si="6"/>
        <v>1029</v>
      </c>
      <c r="Q33" s="80">
        <f t="shared" si="3"/>
        <v>157</v>
      </c>
      <c r="R33" s="181">
        <f t="shared" si="14"/>
        <v>5.3748716193084557E-2</v>
      </c>
      <c r="S33" s="78"/>
      <c r="T33" s="194">
        <v>4671</v>
      </c>
      <c r="U33" s="196">
        <v>1750</v>
      </c>
      <c r="V33" s="196"/>
      <c r="W33" s="195">
        <v>2921</v>
      </c>
      <c r="X33" s="231">
        <v>1000</v>
      </c>
      <c r="Z33" s="176"/>
      <c r="AA33" s="257"/>
      <c r="AB33" s="80"/>
      <c r="AC33" s="80"/>
      <c r="AD33" s="258"/>
      <c r="AE33" s="80"/>
      <c r="AF33" s="258"/>
      <c r="AG33" s="258"/>
      <c r="AH33" s="257"/>
      <c r="AI33" s="80"/>
    </row>
    <row r="34" spans="1:35">
      <c r="A34" s="96">
        <v>26</v>
      </c>
      <c r="B34" s="128" t="s">
        <v>323</v>
      </c>
      <c r="C34" s="279">
        <v>13368</v>
      </c>
      <c r="D34" s="271">
        <v>14034</v>
      </c>
      <c r="E34" s="208">
        <v>10731</v>
      </c>
      <c r="F34" s="175">
        <f t="shared" si="0"/>
        <v>7.7076176199974283E-3</v>
      </c>
      <c r="G34" s="202">
        <v>4445</v>
      </c>
      <c r="H34" s="175">
        <f t="shared" si="1"/>
        <v>1.406399004731449E-3</v>
      </c>
      <c r="I34" s="202">
        <f t="shared" si="4"/>
        <v>15176</v>
      </c>
      <c r="J34" s="272">
        <f t="shared" si="5"/>
        <v>14193</v>
      </c>
      <c r="K34" s="291">
        <f t="shared" si="2"/>
        <v>3.297676082845021E-3</v>
      </c>
      <c r="L34" s="79">
        <f>ROUND(K34*$G$5,0)</f>
        <v>3589</v>
      </c>
      <c r="M34" s="196">
        <f>IF(L34&lt;($M$2*2), L34/2,$M$2)</f>
        <v>1750</v>
      </c>
      <c r="N34" s="196"/>
      <c r="O34" s="242">
        <f>L34-M34-N34</f>
        <v>1839</v>
      </c>
      <c r="P34" s="242">
        <f>ROUND(K34*$H$5,0)</f>
        <v>765</v>
      </c>
      <c r="Q34" s="80">
        <f t="shared" si="3"/>
        <v>-21</v>
      </c>
      <c r="R34" s="181">
        <f t="shared" si="14"/>
        <v>-1.1290322580645161E-2</v>
      </c>
      <c r="S34" s="78"/>
      <c r="T34" s="194">
        <v>3610</v>
      </c>
      <c r="U34" s="196">
        <v>1750</v>
      </c>
      <c r="V34" s="196"/>
      <c r="W34" s="195">
        <v>1860</v>
      </c>
      <c r="X34" s="231">
        <v>773</v>
      </c>
      <c r="Z34" s="176"/>
      <c r="AA34" s="257"/>
      <c r="AB34" s="80"/>
      <c r="AC34" s="80"/>
      <c r="AD34" s="258"/>
      <c r="AE34" s="80"/>
      <c r="AF34" s="258"/>
      <c r="AG34" s="258"/>
      <c r="AH34" s="257"/>
      <c r="AI34" s="80"/>
    </row>
    <row r="35" spans="1:35">
      <c r="A35" s="96">
        <v>27</v>
      </c>
      <c r="B35" s="72" t="s">
        <v>212</v>
      </c>
      <c r="C35" s="279">
        <v>35056</v>
      </c>
      <c r="D35" s="271">
        <v>38093</v>
      </c>
      <c r="E35" s="208">
        <v>12795</v>
      </c>
      <c r="F35" s="175">
        <f t="shared" si="0"/>
        <v>9.1901004051688651E-3</v>
      </c>
      <c r="G35" s="202">
        <v>24211</v>
      </c>
      <c r="H35" s="175">
        <f t="shared" si="1"/>
        <v>7.660365872565379E-3</v>
      </c>
      <c r="I35" s="202">
        <f t="shared" si="4"/>
        <v>37006</v>
      </c>
      <c r="J35" s="272">
        <f t="shared" si="5"/>
        <v>36718</v>
      </c>
      <c r="K35" s="177">
        <f t="shared" si="2"/>
        <v>8.5312527590998017E-3</v>
      </c>
      <c r="L35" s="79">
        <f t="shared" si="7"/>
        <v>9284</v>
      </c>
      <c r="M35" s="196">
        <f t="shared" si="8"/>
        <v>1750</v>
      </c>
      <c r="N35" s="196"/>
      <c r="O35" s="242">
        <f t="shared" si="9"/>
        <v>7534</v>
      </c>
      <c r="P35" s="118">
        <f t="shared" si="6"/>
        <v>1979</v>
      </c>
      <c r="Q35" s="80">
        <f t="shared" si="3"/>
        <v>492</v>
      </c>
      <c r="R35" s="181">
        <f t="shared" si="14"/>
        <v>6.9866515194547008E-2</v>
      </c>
      <c r="S35" s="78"/>
      <c r="T35" s="194">
        <v>8792</v>
      </c>
      <c r="U35" s="196">
        <v>1750</v>
      </c>
      <c r="V35" s="196"/>
      <c r="W35" s="195">
        <v>7042</v>
      </c>
      <c r="X35" s="231">
        <v>1883</v>
      </c>
      <c r="Z35" s="176"/>
      <c r="AA35" s="257"/>
      <c r="AB35" s="80"/>
      <c r="AC35" s="80"/>
      <c r="AD35" s="258"/>
      <c r="AE35" s="80"/>
      <c r="AF35" s="258"/>
      <c r="AG35" s="258"/>
      <c r="AH35" s="257"/>
      <c r="AI35" s="80"/>
    </row>
    <row r="36" spans="1:35">
      <c r="A36" s="96">
        <v>28</v>
      </c>
      <c r="B36" s="72" t="s">
        <v>213</v>
      </c>
      <c r="C36" s="279">
        <v>39426</v>
      </c>
      <c r="D36" s="271">
        <v>43377</v>
      </c>
      <c r="E36" s="208">
        <v>16446</v>
      </c>
      <c r="F36" s="175">
        <f t="shared" si="0"/>
        <v>1.1812457308589853E-2</v>
      </c>
      <c r="G36" s="202">
        <v>23211</v>
      </c>
      <c r="H36" s="175">
        <f t="shared" si="1"/>
        <v>7.3439656465290578E-3</v>
      </c>
      <c r="I36" s="202">
        <f t="shared" si="4"/>
        <v>39657</v>
      </c>
      <c r="J36" s="272">
        <f t="shared" si="5"/>
        <v>40820</v>
      </c>
      <c r="K36" s="177">
        <f t="shared" si="2"/>
        <v>9.4843329600319704E-3</v>
      </c>
      <c r="L36" s="79">
        <f t="shared" si="7"/>
        <v>10321</v>
      </c>
      <c r="M36" s="196">
        <f t="shared" si="8"/>
        <v>1750</v>
      </c>
      <c r="N36" s="196"/>
      <c r="O36" s="242">
        <f t="shared" si="9"/>
        <v>8571</v>
      </c>
      <c r="P36" s="118">
        <f t="shared" si="6"/>
        <v>2200</v>
      </c>
      <c r="Q36" s="80">
        <f t="shared" si="3"/>
        <v>-11</v>
      </c>
      <c r="R36" s="181">
        <f t="shared" si="14"/>
        <v>-1.2817525052435329E-3</v>
      </c>
      <c r="S36" s="78"/>
      <c r="T36" s="194">
        <v>10332</v>
      </c>
      <c r="U36" s="196">
        <v>1750</v>
      </c>
      <c r="V36" s="196"/>
      <c r="W36" s="195">
        <v>8582</v>
      </c>
      <c r="X36" s="231">
        <v>2212</v>
      </c>
      <c r="Z36" s="176"/>
      <c r="AA36" s="257"/>
      <c r="AB36" s="80"/>
      <c r="AC36" s="80"/>
      <c r="AD36" s="258"/>
      <c r="AE36" s="80"/>
      <c r="AF36" s="258"/>
      <c r="AG36" s="258"/>
      <c r="AH36" s="257"/>
      <c r="AI36" s="80"/>
    </row>
    <row r="37" spans="1:35">
      <c r="A37" s="96">
        <v>29</v>
      </c>
      <c r="B37" s="72" t="s">
        <v>169</v>
      </c>
      <c r="C37" s="279">
        <v>18852</v>
      </c>
      <c r="D37" s="271">
        <v>20680</v>
      </c>
      <c r="E37" s="208">
        <v>9599</v>
      </c>
      <c r="F37" s="175">
        <f t="shared" si="0"/>
        <v>6.8945505110758849E-3</v>
      </c>
      <c r="G37" s="202">
        <v>10590</v>
      </c>
      <c r="H37" s="175">
        <f t="shared" si="1"/>
        <v>3.3506783937246446E-3</v>
      </c>
      <c r="I37" s="202">
        <f t="shared" si="4"/>
        <v>20189</v>
      </c>
      <c r="J37" s="272">
        <f t="shared" si="5"/>
        <v>19907</v>
      </c>
      <c r="K37" s="177">
        <f t="shared" si="2"/>
        <v>4.6252968210523382E-3</v>
      </c>
      <c r="L37" s="79">
        <f t="shared" si="7"/>
        <v>5033</v>
      </c>
      <c r="M37" s="196">
        <f t="shared" si="8"/>
        <v>1750</v>
      </c>
      <c r="N37" s="196"/>
      <c r="O37" s="242">
        <f t="shared" si="9"/>
        <v>3283</v>
      </c>
      <c r="P37" s="118">
        <f t="shared" si="6"/>
        <v>1073</v>
      </c>
      <c r="Q37" s="80">
        <f t="shared" si="3"/>
        <v>-181</v>
      </c>
      <c r="R37" s="181">
        <f t="shared" si="14"/>
        <v>-5.2251732101616627E-2</v>
      </c>
      <c r="S37" s="78"/>
      <c r="T37" s="194">
        <v>5214</v>
      </c>
      <c r="U37" s="196">
        <v>1750</v>
      </c>
      <c r="V37" s="196"/>
      <c r="W37" s="195">
        <v>3464</v>
      </c>
      <c r="X37" s="231">
        <v>1116</v>
      </c>
      <c r="Z37" s="176"/>
      <c r="AA37" s="257"/>
      <c r="AB37" s="80"/>
      <c r="AC37" s="80"/>
      <c r="AD37" s="258"/>
      <c r="AE37" s="80"/>
      <c r="AF37" s="258"/>
      <c r="AG37" s="258"/>
      <c r="AH37" s="257"/>
      <c r="AI37" s="80"/>
    </row>
    <row r="38" spans="1:35">
      <c r="A38" s="96">
        <v>30</v>
      </c>
      <c r="B38" s="128" t="s">
        <v>214</v>
      </c>
      <c r="C38" s="279">
        <v>57402</v>
      </c>
      <c r="D38" s="271">
        <v>53278</v>
      </c>
      <c r="E38" s="208">
        <v>28857</v>
      </c>
      <c r="F38" s="175">
        <f t="shared" si="0"/>
        <v>2.072674696302915E-2</v>
      </c>
      <c r="G38" s="202">
        <v>25657</v>
      </c>
      <c r="H38" s="175">
        <f t="shared" si="1"/>
        <v>8.1178805994138997E-3</v>
      </c>
      <c r="I38" s="202">
        <f t="shared" si="4"/>
        <v>54514</v>
      </c>
      <c r="J38" s="272">
        <f t="shared" si="5"/>
        <v>55065</v>
      </c>
      <c r="K38" s="177">
        <f t="shared" si="2"/>
        <v>1.279409099569232E-2</v>
      </c>
      <c r="L38" s="79">
        <f t="shared" si="7"/>
        <v>13923</v>
      </c>
      <c r="M38" s="196">
        <f t="shared" si="8"/>
        <v>1750</v>
      </c>
      <c r="N38" s="196"/>
      <c r="O38" s="242">
        <f t="shared" si="9"/>
        <v>12173</v>
      </c>
      <c r="P38" s="118">
        <f t="shared" si="6"/>
        <v>2967</v>
      </c>
      <c r="Q38" s="80">
        <f t="shared" si="3"/>
        <v>-404</v>
      </c>
      <c r="R38" s="181">
        <f t="shared" si="14"/>
        <v>-3.2122127693408602E-2</v>
      </c>
      <c r="S38" s="78"/>
      <c r="T38" s="194">
        <v>14327</v>
      </c>
      <c r="U38" s="196">
        <v>1750</v>
      </c>
      <c r="V38" s="196"/>
      <c r="W38" s="195">
        <v>12577</v>
      </c>
      <c r="X38" s="231">
        <v>3068</v>
      </c>
      <c r="Z38" s="176"/>
      <c r="AA38" s="257"/>
      <c r="AB38" s="80"/>
      <c r="AC38" s="80"/>
      <c r="AD38" s="258"/>
      <c r="AE38" s="80"/>
      <c r="AF38" s="258"/>
      <c r="AG38" s="258"/>
      <c r="AH38" s="257"/>
      <c r="AI38" s="80"/>
    </row>
    <row r="39" spans="1:35">
      <c r="A39" s="96">
        <v>31</v>
      </c>
      <c r="B39" s="128" t="s">
        <v>447</v>
      </c>
      <c r="C39" s="279">
        <v>14709</v>
      </c>
      <c r="D39" s="271">
        <v>15542</v>
      </c>
      <c r="E39" s="208">
        <v>13085</v>
      </c>
      <c r="F39" s="175">
        <f t="shared" si="0"/>
        <v>9.3983949825427598E-3</v>
      </c>
      <c r="G39" s="202">
        <v>6324</v>
      </c>
      <c r="H39" s="175">
        <f t="shared" si="1"/>
        <v>2.0009150294536971E-3</v>
      </c>
      <c r="I39" s="202">
        <f t="shared" si="4"/>
        <v>19409</v>
      </c>
      <c r="J39" s="272">
        <f t="shared" si="5"/>
        <v>16553</v>
      </c>
      <c r="K39" s="177">
        <f t="shared" si="2"/>
        <v>3.8460108644637241E-3</v>
      </c>
      <c r="L39" s="79">
        <f t="shared" si="7"/>
        <v>4185</v>
      </c>
      <c r="M39" s="196">
        <f t="shared" si="8"/>
        <v>1750</v>
      </c>
      <c r="N39" s="196"/>
      <c r="O39" s="242">
        <f t="shared" si="9"/>
        <v>2435</v>
      </c>
      <c r="P39" s="118">
        <f t="shared" si="6"/>
        <v>892</v>
      </c>
      <c r="Q39" s="80">
        <f t="shared" si="3"/>
        <v>2435</v>
      </c>
      <c r="R39" s="181" t="s">
        <v>322</v>
      </c>
      <c r="S39" s="78"/>
      <c r="T39" s="194"/>
      <c r="U39" s="196"/>
      <c r="V39" s="196"/>
      <c r="W39" s="195"/>
      <c r="X39" s="231"/>
      <c r="Z39" s="176"/>
      <c r="AA39" s="257"/>
      <c r="AB39" s="80"/>
      <c r="AC39" s="80"/>
      <c r="AD39" s="258"/>
      <c r="AE39" s="80"/>
      <c r="AF39" s="258"/>
      <c r="AG39" s="258"/>
      <c r="AH39" s="257"/>
      <c r="AI39" s="80"/>
    </row>
    <row r="40" spans="1:35">
      <c r="A40" s="96">
        <v>32</v>
      </c>
      <c r="B40" s="72" t="s">
        <v>170</v>
      </c>
      <c r="C40" s="279">
        <v>200544</v>
      </c>
      <c r="D40" s="271">
        <v>218507</v>
      </c>
      <c r="E40" s="208">
        <v>59701</v>
      </c>
      <c r="F40" s="175">
        <f t="shared" si="0"/>
        <v>4.2880670909651149E-2</v>
      </c>
      <c r="G40" s="202">
        <v>180881</v>
      </c>
      <c r="H40" s="175">
        <f t="shared" si="1"/>
        <v>5.7230789285675869E-2</v>
      </c>
      <c r="I40" s="202">
        <f t="shared" si="4"/>
        <v>240582</v>
      </c>
      <c r="J40" s="272">
        <f t="shared" si="5"/>
        <v>219878</v>
      </c>
      <c r="K40" s="177">
        <f t="shared" si="2"/>
        <v>5.1087608098625913E-2</v>
      </c>
      <c r="L40" s="79">
        <f t="shared" si="7"/>
        <v>55596</v>
      </c>
      <c r="M40" s="196">
        <f t="shared" si="8"/>
        <v>1750</v>
      </c>
      <c r="N40" s="196"/>
      <c r="O40" s="242">
        <f t="shared" si="9"/>
        <v>53846</v>
      </c>
      <c r="P40" s="118">
        <f t="shared" si="6"/>
        <v>11848</v>
      </c>
      <c r="Q40" s="80">
        <f t="shared" si="3"/>
        <v>3790</v>
      </c>
      <c r="R40" s="181">
        <f t="shared" si="14"/>
        <v>7.5715198977145598E-2</v>
      </c>
      <c r="S40" s="78"/>
      <c r="T40" s="194">
        <v>51806</v>
      </c>
      <c r="U40" s="196">
        <v>1750</v>
      </c>
      <c r="V40" s="196"/>
      <c r="W40" s="195">
        <v>50056</v>
      </c>
      <c r="X40" s="231">
        <v>11092</v>
      </c>
      <c r="Z40" s="176"/>
      <c r="AA40" s="257"/>
      <c r="AB40" s="80"/>
      <c r="AC40" s="80"/>
      <c r="AD40" s="258"/>
      <c r="AE40" s="80"/>
      <c r="AF40" s="258"/>
      <c r="AG40" s="258"/>
      <c r="AH40" s="257"/>
      <c r="AI40" s="80"/>
    </row>
    <row r="41" spans="1:35">
      <c r="A41" s="96">
        <v>33</v>
      </c>
      <c r="B41" s="128" t="s">
        <v>215</v>
      </c>
      <c r="C41" s="279">
        <v>92137</v>
      </c>
      <c r="D41" s="271">
        <v>115289</v>
      </c>
      <c r="E41" s="208">
        <v>40881</v>
      </c>
      <c r="F41" s="175">
        <f t="shared" si="0"/>
        <v>2.9363071095248799E-2</v>
      </c>
      <c r="G41" s="202">
        <v>76882</v>
      </c>
      <c r="H41" s="175">
        <f t="shared" si="1"/>
        <v>2.4325482178124469E-2</v>
      </c>
      <c r="I41" s="202">
        <f t="shared" si="4"/>
        <v>117763</v>
      </c>
      <c r="J41" s="272">
        <f t="shared" si="5"/>
        <v>108396</v>
      </c>
      <c r="K41" s="177">
        <f t="shared" si="2"/>
        <v>2.5185295334042762E-2</v>
      </c>
      <c r="L41" s="79">
        <f t="shared" si="7"/>
        <v>27408</v>
      </c>
      <c r="M41" s="196">
        <f t="shared" si="8"/>
        <v>1750</v>
      </c>
      <c r="N41" s="196"/>
      <c r="O41" s="242">
        <f t="shared" si="9"/>
        <v>25658</v>
      </c>
      <c r="P41" s="118">
        <f t="shared" ref="P41:P62" si="15">ROUND(K41*$H$5,0)</f>
        <v>5841</v>
      </c>
      <c r="Q41" s="80">
        <f t="shared" si="3"/>
        <v>1433</v>
      </c>
      <c r="R41" s="181">
        <f t="shared" si="14"/>
        <v>5.9153766769865841E-2</v>
      </c>
      <c r="S41" s="78"/>
      <c r="T41" s="194">
        <v>25975</v>
      </c>
      <c r="U41" s="196">
        <v>1750</v>
      </c>
      <c r="V41" s="196"/>
      <c r="W41" s="195">
        <v>24225</v>
      </c>
      <c r="X41" s="231">
        <v>5562</v>
      </c>
      <c r="Z41" s="176"/>
      <c r="AA41" s="257"/>
      <c r="AB41" s="80"/>
      <c r="AC41" s="80"/>
      <c r="AD41" s="258"/>
      <c r="AE41" s="80"/>
      <c r="AF41" s="258"/>
      <c r="AG41" s="258"/>
      <c r="AH41" s="257"/>
      <c r="AI41" s="80"/>
    </row>
    <row r="42" spans="1:35">
      <c r="A42" s="96">
        <v>34</v>
      </c>
      <c r="B42" s="72" t="s">
        <v>216</v>
      </c>
      <c r="C42" s="279">
        <v>45438</v>
      </c>
      <c r="D42" s="271">
        <v>32419</v>
      </c>
      <c r="E42" s="208">
        <v>14906</v>
      </c>
      <c r="F42" s="175">
        <f t="shared" si="0"/>
        <v>1.070634127701814E-2</v>
      </c>
      <c r="G42" s="202">
        <v>19926</v>
      </c>
      <c r="H42" s="175">
        <f t="shared" si="1"/>
        <v>6.3045909039997419E-3</v>
      </c>
      <c r="I42" s="202">
        <f t="shared" si="4"/>
        <v>34832</v>
      </c>
      <c r="J42" s="272">
        <f t="shared" si="5"/>
        <v>37563</v>
      </c>
      <c r="K42" s="177">
        <f t="shared" si="2"/>
        <v>8.7275844923488718E-3</v>
      </c>
      <c r="L42" s="79">
        <f t="shared" si="7"/>
        <v>9498</v>
      </c>
      <c r="M42" s="196">
        <f t="shared" si="8"/>
        <v>1750</v>
      </c>
      <c r="N42" s="196"/>
      <c r="O42" s="242">
        <f t="shared" si="9"/>
        <v>7748</v>
      </c>
      <c r="P42" s="118">
        <f t="shared" si="15"/>
        <v>2024</v>
      </c>
      <c r="Q42" s="80">
        <f t="shared" si="3"/>
        <v>-559</v>
      </c>
      <c r="R42" s="181">
        <f t="shared" ref="R42:R63" si="16">(O42-W42)/W42</f>
        <v>-6.729264475743349E-2</v>
      </c>
      <c r="S42" s="78"/>
      <c r="T42" s="194">
        <v>10057</v>
      </c>
      <c r="U42" s="196">
        <v>1750</v>
      </c>
      <c r="V42" s="196"/>
      <c r="W42" s="195">
        <v>8307</v>
      </c>
      <c r="X42" s="231">
        <v>2153</v>
      </c>
      <c r="Z42" s="176"/>
      <c r="AA42" s="257"/>
      <c r="AB42" s="80"/>
      <c r="AC42" s="80"/>
      <c r="AD42" s="258"/>
      <c r="AE42" s="80"/>
      <c r="AF42" s="258"/>
      <c r="AG42" s="258"/>
      <c r="AH42" s="257"/>
      <c r="AI42" s="80"/>
    </row>
    <row r="43" spans="1:35">
      <c r="A43" s="96">
        <v>35</v>
      </c>
      <c r="B43" s="72" t="s">
        <v>171</v>
      </c>
      <c r="C43" s="279">
        <v>213411</v>
      </c>
      <c r="D43" s="271">
        <v>253208</v>
      </c>
      <c r="E43" s="208">
        <v>46665</v>
      </c>
      <c r="F43" s="175">
        <f t="shared" ref="F43:F62" si="17">E43/$E$63</f>
        <v>3.3517470528112943E-2</v>
      </c>
      <c r="G43" s="202">
        <v>211291</v>
      </c>
      <c r="H43" s="175">
        <f t="shared" ref="H43:H62" si="18">G43/$G$63</f>
        <v>6.6852520159440404E-2</v>
      </c>
      <c r="I43" s="202">
        <f t="shared" si="4"/>
        <v>257956</v>
      </c>
      <c r="J43" s="272">
        <f t="shared" si="5"/>
        <v>241525</v>
      </c>
      <c r="K43" s="177">
        <f t="shared" ref="K43:K62" si="19">J43/$J$63</f>
        <v>5.6117185648498817E-2</v>
      </c>
      <c r="L43" s="79">
        <f t="shared" si="7"/>
        <v>61070</v>
      </c>
      <c r="M43" s="196">
        <f t="shared" si="8"/>
        <v>1750</v>
      </c>
      <c r="N43" s="196"/>
      <c r="O43" s="242">
        <f t="shared" si="9"/>
        <v>59320</v>
      </c>
      <c r="P43" s="118">
        <f t="shared" si="15"/>
        <v>13014</v>
      </c>
      <c r="Q43" s="80">
        <f t="shared" si="3"/>
        <v>3170</v>
      </c>
      <c r="R43" s="181">
        <f t="shared" si="16"/>
        <v>5.6455921638468388E-2</v>
      </c>
      <c r="S43" s="78"/>
      <c r="T43" s="194">
        <v>57900</v>
      </c>
      <c r="U43" s="196">
        <v>1750</v>
      </c>
      <c r="V43" s="196"/>
      <c r="W43" s="195">
        <v>56150</v>
      </c>
      <c r="X43" s="231">
        <v>12397</v>
      </c>
      <c r="Z43" s="176"/>
      <c r="AA43" s="257"/>
      <c r="AB43" s="80"/>
      <c r="AC43" s="80"/>
      <c r="AD43" s="258"/>
      <c r="AE43" s="80"/>
      <c r="AF43" s="258"/>
      <c r="AG43" s="258"/>
      <c r="AH43" s="257"/>
      <c r="AI43" s="80"/>
    </row>
    <row r="44" spans="1:35">
      <c r="A44" s="96">
        <v>36</v>
      </c>
      <c r="B44" s="72" t="s">
        <v>217</v>
      </c>
      <c r="C44" s="279">
        <v>33794</v>
      </c>
      <c r="D44" s="271">
        <v>35086</v>
      </c>
      <c r="E44" s="208">
        <v>16257</v>
      </c>
      <c r="F44" s="175">
        <f t="shared" si="17"/>
        <v>1.1676706704715142E-2</v>
      </c>
      <c r="G44" s="202">
        <v>17384</v>
      </c>
      <c r="H44" s="175">
        <f t="shared" si="18"/>
        <v>5.5003015294154125E-3</v>
      </c>
      <c r="I44" s="202">
        <f t="shared" si="4"/>
        <v>33641</v>
      </c>
      <c r="J44" s="272">
        <f t="shared" si="5"/>
        <v>34174</v>
      </c>
      <c r="K44" s="177">
        <f t="shared" si="19"/>
        <v>7.9401664521345557E-3</v>
      </c>
      <c r="L44" s="79">
        <f t="shared" si="7"/>
        <v>8641</v>
      </c>
      <c r="M44" s="196">
        <f t="shared" si="8"/>
        <v>1750</v>
      </c>
      <c r="N44" s="196"/>
      <c r="O44" s="242">
        <f t="shared" si="9"/>
        <v>6891</v>
      </c>
      <c r="P44" s="118">
        <f t="shared" si="15"/>
        <v>1841</v>
      </c>
      <c r="Q44" s="80">
        <f t="shared" si="3"/>
        <v>126</v>
      </c>
      <c r="R44" s="181">
        <f t="shared" si="16"/>
        <v>1.8625277161862529E-2</v>
      </c>
      <c r="S44" s="78"/>
      <c r="T44" s="194">
        <v>8515</v>
      </c>
      <c r="U44" s="196">
        <v>1750</v>
      </c>
      <c r="V44" s="196"/>
      <c r="W44" s="195">
        <v>6765</v>
      </c>
      <c r="X44" s="231">
        <v>1823</v>
      </c>
      <c r="Z44" s="176"/>
      <c r="AA44" s="257"/>
      <c r="AB44" s="80"/>
      <c r="AC44" s="80"/>
      <c r="AD44" s="258"/>
      <c r="AE44" s="80"/>
      <c r="AF44" s="258"/>
      <c r="AG44" s="258"/>
      <c r="AH44" s="257"/>
      <c r="AI44" s="80"/>
    </row>
    <row r="45" spans="1:35">
      <c r="A45" s="96">
        <v>37</v>
      </c>
      <c r="B45" s="72" t="s">
        <v>172</v>
      </c>
      <c r="C45" s="279">
        <v>189276</v>
      </c>
      <c r="D45" s="271">
        <v>212561</v>
      </c>
      <c r="E45" s="208">
        <v>51940</v>
      </c>
      <c r="F45" s="175">
        <f t="shared" si="17"/>
        <v>3.7306277064827739E-2</v>
      </c>
      <c r="G45" s="202">
        <v>166877</v>
      </c>
      <c r="H45" s="175">
        <f t="shared" si="18"/>
        <v>5.2799920520263222E-2</v>
      </c>
      <c r="I45" s="202">
        <f t="shared" si="4"/>
        <v>218817</v>
      </c>
      <c r="J45" s="272">
        <f t="shared" si="5"/>
        <v>206885</v>
      </c>
      <c r="K45" s="177">
        <f t="shared" si="19"/>
        <v>4.8068746311519216E-2</v>
      </c>
      <c r="L45" s="79">
        <f t="shared" si="7"/>
        <v>52311</v>
      </c>
      <c r="M45" s="196">
        <f t="shared" si="8"/>
        <v>1750</v>
      </c>
      <c r="N45" s="196"/>
      <c r="O45" s="242">
        <f t="shared" si="9"/>
        <v>50561</v>
      </c>
      <c r="P45" s="118">
        <f t="shared" si="15"/>
        <v>11148</v>
      </c>
      <c r="Q45" s="80">
        <f t="shared" si="3"/>
        <v>3867</v>
      </c>
      <c r="R45" s="181">
        <f t="shared" si="16"/>
        <v>8.2815779329250008E-2</v>
      </c>
      <c r="S45" s="78"/>
      <c r="T45" s="194">
        <v>48444</v>
      </c>
      <c r="U45" s="196">
        <v>1750</v>
      </c>
      <c r="V45" s="196"/>
      <c r="W45" s="195">
        <v>46694</v>
      </c>
      <c r="X45" s="231">
        <v>10373</v>
      </c>
      <c r="Z45" s="176"/>
      <c r="AA45" s="257"/>
      <c r="AB45" s="80"/>
      <c r="AC45" s="80"/>
      <c r="AD45" s="258"/>
      <c r="AE45" s="80"/>
      <c r="AF45" s="258"/>
      <c r="AG45" s="258"/>
      <c r="AH45" s="257"/>
      <c r="AI45" s="80"/>
    </row>
    <row r="46" spans="1:35">
      <c r="A46" s="96">
        <v>38</v>
      </c>
      <c r="B46" s="128" t="s">
        <v>218</v>
      </c>
      <c r="C46" s="279">
        <v>25066</v>
      </c>
      <c r="D46" s="271">
        <v>27987</v>
      </c>
      <c r="E46" s="208">
        <v>18565</v>
      </c>
      <c r="F46" s="175">
        <f t="shared" si="17"/>
        <v>1.3334444237745994E-2</v>
      </c>
      <c r="G46" s="202">
        <v>6967</v>
      </c>
      <c r="H46" s="175">
        <f t="shared" si="18"/>
        <v>2.2043603747950516E-3</v>
      </c>
      <c r="I46" s="202">
        <f t="shared" si="4"/>
        <v>25532</v>
      </c>
      <c r="J46" s="272">
        <f t="shared" si="5"/>
        <v>26195</v>
      </c>
      <c r="K46" s="177">
        <f t="shared" si="19"/>
        <v>6.0862837307211533E-3</v>
      </c>
      <c r="L46" s="79">
        <f t="shared" si="7"/>
        <v>6623</v>
      </c>
      <c r="M46" s="196">
        <f t="shared" si="8"/>
        <v>1750</v>
      </c>
      <c r="N46" s="196"/>
      <c r="O46" s="242">
        <f t="shared" si="9"/>
        <v>4873</v>
      </c>
      <c r="P46" s="118">
        <f t="shared" si="15"/>
        <v>1411</v>
      </c>
      <c r="Q46" s="80">
        <f t="shared" si="3"/>
        <v>-58</v>
      </c>
      <c r="R46" s="181">
        <f t="shared" si="16"/>
        <v>-1.176232001622389E-2</v>
      </c>
      <c r="S46" s="78"/>
      <c r="T46" s="194">
        <v>6681</v>
      </c>
      <c r="U46" s="196">
        <v>1750</v>
      </c>
      <c r="V46" s="196"/>
      <c r="W46" s="195">
        <v>4931</v>
      </c>
      <c r="X46" s="231">
        <v>1431</v>
      </c>
      <c r="Z46" s="176"/>
      <c r="AA46" s="257"/>
      <c r="AB46" s="80"/>
      <c r="AC46" s="80"/>
      <c r="AD46" s="258"/>
      <c r="AE46" s="80"/>
      <c r="AF46" s="258"/>
      <c r="AG46" s="258"/>
      <c r="AH46" s="257"/>
      <c r="AI46" s="80"/>
    </row>
    <row r="47" spans="1:35">
      <c r="A47" s="96">
        <v>39</v>
      </c>
      <c r="B47" s="72" t="s">
        <v>219</v>
      </c>
      <c r="C47" s="279">
        <v>60738</v>
      </c>
      <c r="D47" s="271">
        <v>76377</v>
      </c>
      <c r="E47" s="208">
        <v>25198</v>
      </c>
      <c r="F47" s="175">
        <f t="shared" si="17"/>
        <v>1.8098644002301295E-2</v>
      </c>
      <c r="G47" s="202">
        <v>52242</v>
      </c>
      <c r="H47" s="175">
        <f t="shared" si="18"/>
        <v>1.6529380608589508E-2</v>
      </c>
      <c r="I47" s="202">
        <f t="shared" si="4"/>
        <v>77440</v>
      </c>
      <c r="J47" s="272">
        <f t="shared" si="5"/>
        <v>71518</v>
      </c>
      <c r="K47" s="177">
        <f t="shared" si="19"/>
        <v>1.6616867335511182E-2</v>
      </c>
      <c r="L47" s="79">
        <f t="shared" si="7"/>
        <v>18083</v>
      </c>
      <c r="M47" s="196">
        <f t="shared" si="8"/>
        <v>1750</v>
      </c>
      <c r="N47" s="196"/>
      <c r="O47" s="242">
        <f t="shared" si="9"/>
        <v>16333</v>
      </c>
      <c r="P47" s="118">
        <f t="shared" si="15"/>
        <v>3854</v>
      </c>
      <c r="Q47" s="80">
        <f t="shared" si="3"/>
        <v>1028</v>
      </c>
      <c r="R47" s="181">
        <f t="shared" si="16"/>
        <v>6.7167592290101275E-2</v>
      </c>
      <c r="S47" s="78"/>
      <c r="T47" s="194">
        <v>17055</v>
      </c>
      <c r="U47" s="196">
        <v>1750</v>
      </c>
      <c r="V47" s="196"/>
      <c r="W47" s="195">
        <v>15305</v>
      </c>
      <c r="X47" s="231">
        <v>3652</v>
      </c>
      <c r="Z47" s="176"/>
      <c r="AA47" s="257"/>
      <c r="AB47" s="80"/>
      <c r="AC47" s="80"/>
      <c r="AD47" s="258"/>
      <c r="AE47" s="80"/>
      <c r="AF47" s="258"/>
      <c r="AG47" s="258"/>
      <c r="AH47" s="257"/>
      <c r="AI47" s="80"/>
    </row>
    <row r="48" spans="1:35">
      <c r="A48" s="96">
        <v>40</v>
      </c>
      <c r="B48" s="72" t="s">
        <v>220</v>
      </c>
      <c r="C48" s="279">
        <v>83556</v>
      </c>
      <c r="D48" s="271">
        <v>96169</v>
      </c>
      <c r="E48" s="208">
        <v>35866</v>
      </c>
      <c r="F48" s="175">
        <f t="shared" si="17"/>
        <v>2.5761011421007153E-2</v>
      </c>
      <c r="G48" s="202">
        <v>57088</v>
      </c>
      <c r="H48" s="175">
        <f t="shared" si="18"/>
        <v>1.806265610396152E-2</v>
      </c>
      <c r="I48" s="202">
        <f t="shared" si="4"/>
        <v>92954</v>
      </c>
      <c r="J48" s="272">
        <f t="shared" si="5"/>
        <v>90893</v>
      </c>
      <c r="K48" s="177">
        <f t="shared" si="19"/>
        <v>2.1118556485452866E-2</v>
      </c>
      <c r="L48" s="79">
        <f t="shared" si="7"/>
        <v>22982</v>
      </c>
      <c r="M48" s="196">
        <f t="shared" si="8"/>
        <v>1750</v>
      </c>
      <c r="N48" s="196"/>
      <c r="O48" s="242">
        <f t="shared" si="9"/>
        <v>21232</v>
      </c>
      <c r="P48" s="118">
        <f t="shared" si="15"/>
        <v>4898</v>
      </c>
      <c r="Q48" s="80">
        <f t="shared" si="3"/>
        <v>1178</v>
      </c>
      <c r="R48" s="181">
        <f t="shared" si="16"/>
        <v>5.8741398224793059E-2</v>
      </c>
      <c r="S48" s="78"/>
      <c r="T48" s="194">
        <v>21804</v>
      </c>
      <c r="U48" s="196">
        <v>1750</v>
      </c>
      <c r="V48" s="196"/>
      <c r="W48" s="195">
        <v>20054</v>
      </c>
      <c r="X48" s="231">
        <v>4669</v>
      </c>
      <c r="Z48" s="176"/>
      <c r="AA48" s="257"/>
      <c r="AB48" s="80"/>
      <c r="AC48" s="80"/>
      <c r="AD48" s="258"/>
      <c r="AE48" s="80"/>
      <c r="AF48" s="258"/>
      <c r="AG48" s="258"/>
      <c r="AH48" s="257"/>
      <c r="AI48" s="80"/>
    </row>
    <row r="49" spans="1:36">
      <c r="A49" s="96">
        <v>41</v>
      </c>
      <c r="B49" s="72" t="s">
        <v>173</v>
      </c>
      <c r="C49" s="279">
        <v>23275</v>
      </c>
      <c r="D49" s="271">
        <v>25885</v>
      </c>
      <c r="E49" s="208">
        <v>14431</v>
      </c>
      <c r="F49" s="175">
        <f t="shared" si="17"/>
        <v>1.0365169124422971E-2</v>
      </c>
      <c r="G49" s="202">
        <v>11445</v>
      </c>
      <c r="H49" s="175">
        <f t="shared" si="18"/>
        <v>3.6212005869856994E-3</v>
      </c>
      <c r="I49" s="202">
        <f t="shared" si="4"/>
        <v>25876</v>
      </c>
      <c r="J49" s="272">
        <f t="shared" si="5"/>
        <v>25012</v>
      </c>
      <c r="K49" s="177">
        <f t="shared" si="19"/>
        <v>5.8114193041724563E-3</v>
      </c>
      <c r="L49" s="79">
        <f t="shared" si="7"/>
        <v>6324</v>
      </c>
      <c r="M49" s="196">
        <f t="shared" si="8"/>
        <v>1750</v>
      </c>
      <c r="N49" s="196"/>
      <c r="O49" s="242">
        <f t="shared" si="9"/>
        <v>4574</v>
      </c>
      <c r="P49" s="118">
        <f t="shared" si="15"/>
        <v>1348</v>
      </c>
      <c r="Q49" s="80">
        <f t="shared" si="3"/>
        <v>250</v>
      </c>
      <c r="R49" s="181">
        <f t="shared" si="16"/>
        <v>5.7816836262719704E-2</v>
      </c>
      <c r="S49" s="78"/>
      <c r="T49" s="194">
        <v>6074</v>
      </c>
      <c r="U49" s="196">
        <v>1750</v>
      </c>
      <c r="V49" s="196"/>
      <c r="W49" s="195">
        <v>4324</v>
      </c>
      <c r="X49" s="231">
        <v>1301</v>
      </c>
      <c r="Z49" s="176"/>
      <c r="AA49" s="257"/>
      <c r="AB49" s="80"/>
      <c r="AC49" s="80"/>
      <c r="AD49" s="258"/>
      <c r="AE49" s="80"/>
      <c r="AF49" s="258"/>
      <c r="AG49" s="258"/>
      <c r="AH49" s="257"/>
      <c r="AI49" s="80"/>
    </row>
    <row r="50" spans="1:36">
      <c r="A50" s="96">
        <v>42</v>
      </c>
      <c r="B50" s="128" t="s">
        <v>221</v>
      </c>
      <c r="C50" s="279">
        <v>55776</v>
      </c>
      <c r="D50" s="271">
        <v>61202</v>
      </c>
      <c r="E50" s="208">
        <v>21072</v>
      </c>
      <c r="F50" s="175">
        <f t="shared" si="17"/>
        <v>1.5135114946285139E-2</v>
      </c>
      <c r="G50" s="202">
        <v>39250</v>
      </c>
      <c r="H50" s="175">
        <f t="shared" si="18"/>
        <v>1.2418708871925617E-2</v>
      </c>
      <c r="I50" s="202">
        <f t="shared" si="4"/>
        <v>60322</v>
      </c>
      <c r="J50" s="272">
        <f t="shared" si="5"/>
        <v>59100</v>
      </c>
      <c r="K50" s="177">
        <f t="shared" si="19"/>
        <v>1.3731604065112432E-2</v>
      </c>
      <c r="L50" s="79">
        <f t="shared" si="7"/>
        <v>14943</v>
      </c>
      <c r="M50" s="196">
        <f t="shared" si="8"/>
        <v>1750</v>
      </c>
      <c r="N50" s="196"/>
      <c r="O50" s="242">
        <f t="shared" si="9"/>
        <v>13193</v>
      </c>
      <c r="P50" s="118">
        <f t="shared" si="15"/>
        <v>3185</v>
      </c>
      <c r="Q50" s="80">
        <f t="shared" si="3"/>
        <v>690</v>
      </c>
      <c r="R50" s="181">
        <f t="shared" si="16"/>
        <v>5.5186755178757096E-2</v>
      </c>
      <c r="S50" s="78"/>
      <c r="T50" s="194">
        <v>14253</v>
      </c>
      <c r="U50" s="196">
        <v>1750</v>
      </c>
      <c r="V50" s="196"/>
      <c r="W50" s="195">
        <v>12503</v>
      </c>
      <c r="X50" s="231">
        <v>3052</v>
      </c>
      <c r="Z50" s="176"/>
      <c r="AA50" s="257"/>
      <c r="AB50" s="80"/>
      <c r="AC50" s="80"/>
      <c r="AD50" s="258"/>
      <c r="AE50" s="80"/>
      <c r="AF50" s="258"/>
      <c r="AG50" s="258"/>
      <c r="AH50" s="257"/>
      <c r="AI50" s="80"/>
    </row>
    <row r="51" spans="1:36">
      <c r="A51" s="96">
        <v>43</v>
      </c>
      <c r="B51" s="128" t="s">
        <v>222</v>
      </c>
      <c r="C51" s="279">
        <v>36345</v>
      </c>
      <c r="D51" s="271">
        <v>35929</v>
      </c>
      <c r="E51" s="208">
        <v>16997</v>
      </c>
      <c r="F51" s="175">
        <f t="shared" si="17"/>
        <v>1.2208217005600252E-2</v>
      </c>
      <c r="G51" s="202">
        <v>18022</v>
      </c>
      <c r="H51" s="175">
        <f t="shared" si="18"/>
        <v>5.702164873626586E-3</v>
      </c>
      <c r="I51" s="202">
        <f t="shared" si="4"/>
        <v>35019</v>
      </c>
      <c r="J51" s="272">
        <f t="shared" si="5"/>
        <v>35764</v>
      </c>
      <c r="K51" s="177">
        <f t="shared" si="19"/>
        <v>8.3095953939878349E-3</v>
      </c>
      <c r="L51" s="79">
        <f t="shared" si="7"/>
        <v>9043</v>
      </c>
      <c r="M51" s="196">
        <f t="shared" si="8"/>
        <v>1750</v>
      </c>
      <c r="N51" s="196"/>
      <c r="O51" s="242">
        <f t="shared" si="9"/>
        <v>7293</v>
      </c>
      <c r="P51" s="118">
        <f t="shared" si="15"/>
        <v>1927</v>
      </c>
      <c r="Q51" s="80">
        <f t="shared" si="3"/>
        <v>162</v>
      </c>
      <c r="R51" s="181">
        <f t="shared" si="16"/>
        <v>2.2717711400925537E-2</v>
      </c>
      <c r="S51" s="78"/>
      <c r="T51" s="194">
        <v>8881</v>
      </c>
      <c r="U51" s="196">
        <v>1750</v>
      </c>
      <c r="V51" s="196"/>
      <c r="W51" s="195">
        <v>7131</v>
      </c>
      <c r="X51" s="231">
        <v>1902</v>
      </c>
      <c r="Z51" s="176"/>
      <c r="AA51" s="257"/>
      <c r="AB51" s="80"/>
      <c r="AC51" s="80"/>
      <c r="AD51" s="258"/>
      <c r="AE51" s="80"/>
      <c r="AF51" s="258"/>
      <c r="AG51" s="258"/>
      <c r="AH51" s="257"/>
      <c r="AI51" s="80"/>
    </row>
    <row r="52" spans="1:36">
      <c r="A52" s="96">
        <v>44</v>
      </c>
      <c r="B52" s="72" t="s">
        <v>223</v>
      </c>
      <c r="C52" s="279">
        <v>65454</v>
      </c>
      <c r="D52" s="271">
        <v>73659</v>
      </c>
      <c r="E52" s="208">
        <v>26768</v>
      </c>
      <c r="F52" s="175">
        <f t="shared" si="17"/>
        <v>1.9226307748773756E-2</v>
      </c>
      <c r="G52" s="202">
        <v>43127</v>
      </c>
      <c r="H52" s="175">
        <f t="shared" si="18"/>
        <v>1.3645392548268437E-2</v>
      </c>
      <c r="I52" s="202">
        <f t="shared" si="4"/>
        <v>69895</v>
      </c>
      <c r="J52" s="272">
        <f t="shared" si="5"/>
        <v>69669</v>
      </c>
      <c r="K52" s="177">
        <f t="shared" si="19"/>
        <v>1.6187260974827717E-2</v>
      </c>
      <c r="L52" s="79">
        <f t="shared" si="7"/>
        <v>17616</v>
      </c>
      <c r="M52" s="196">
        <f t="shared" si="8"/>
        <v>1750</v>
      </c>
      <c r="N52" s="196"/>
      <c r="O52" s="242">
        <f t="shared" si="9"/>
        <v>15866</v>
      </c>
      <c r="P52" s="118">
        <f t="shared" si="15"/>
        <v>3754</v>
      </c>
      <c r="Q52" s="80">
        <f t="shared" si="3"/>
        <v>795</v>
      </c>
      <c r="R52" s="181">
        <f t="shared" si="16"/>
        <v>5.2750315174839094E-2</v>
      </c>
      <c r="S52" s="78"/>
      <c r="T52" s="194">
        <v>16821</v>
      </c>
      <c r="U52" s="196">
        <v>1750</v>
      </c>
      <c r="V52" s="196"/>
      <c r="W52" s="195">
        <v>15071</v>
      </c>
      <c r="X52" s="231">
        <v>3602</v>
      </c>
      <c r="Z52" s="176"/>
      <c r="AA52" s="257"/>
      <c r="AB52" s="80"/>
      <c r="AC52" s="80"/>
      <c r="AD52" s="258"/>
      <c r="AE52" s="80"/>
      <c r="AF52" s="258"/>
      <c r="AG52" s="258"/>
      <c r="AH52" s="257"/>
      <c r="AI52" s="80"/>
    </row>
    <row r="53" spans="1:36">
      <c r="A53" s="96">
        <v>45</v>
      </c>
      <c r="B53" s="128" t="s">
        <v>224</v>
      </c>
      <c r="C53" s="279">
        <v>141355</v>
      </c>
      <c r="D53" s="271">
        <v>167843</v>
      </c>
      <c r="E53" s="208">
        <v>29791</v>
      </c>
      <c r="F53" s="175">
        <f t="shared" si="17"/>
        <v>2.139759915360576E-2</v>
      </c>
      <c r="G53" s="202">
        <v>135029</v>
      </c>
      <c r="H53" s="175">
        <f t="shared" si="18"/>
        <v>4.2723206121458454E-2</v>
      </c>
      <c r="I53" s="202">
        <f t="shared" si="4"/>
        <v>164820</v>
      </c>
      <c r="J53" s="272">
        <f t="shared" si="5"/>
        <v>158006</v>
      </c>
      <c r="K53" s="177">
        <f t="shared" si="19"/>
        <v>3.6711943010357954E-2</v>
      </c>
      <c r="L53" s="79">
        <f t="shared" si="7"/>
        <v>39952</v>
      </c>
      <c r="M53" s="196">
        <f t="shared" si="8"/>
        <v>1750</v>
      </c>
      <c r="N53" s="196"/>
      <c r="O53" s="242">
        <f t="shared" si="9"/>
        <v>38202</v>
      </c>
      <c r="P53" s="118">
        <f t="shared" si="15"/>
        <v>8514</v>
      </c>
      <c r="Q53" s="80">
        <f t="shared" si="3"/>
        <v>4197</v>
      </c>
      <c r="R53" s="181">
        <f t="shared" si="16"/>
        <v>0.12342302602558447</v>
      </c>
      <c r="S53" s="78"/>
      <c r="T53" s="194">
        <v>35755</v>
      </c>
      <c r="U53" s="196">
        <v>1750</v>
      </c>
      <c r="V53" s="196"/>
      <c r="W53" s="195">
        <v>34005</v>
      </c>
      <c r="X53" s="231">
        <v>7656</v>
      </c>
      <c r="Z53" s="176"/>
      <c r="AA53" s="257"/>
      <c r="AB53" s="80"/>
      <c r="AC53" s="80"/>
      <c r="AD53" s="258"/>
      <c r="AE53" s="80"/>
      <c r="AF53" s="258"/>
      <c r="AG53" s="258"/>
      <c r="AH53" s="257"/>
      <c r="AI53" s="80"/>
    </row>
    <row r="54" spans="1:36">
      <c r="A54" s="96">
        <v>46</v>
      </c>
      <c r="B54" s="72" t="s">
        <v>176</v>
      </c>
      <c r="C54" s="279">
        <v>250488</v>
      </c>
      <c r="D54" s="271">
        <v>287033</v>
      </c>
      <c r="E54" s="208">
        <v>71438</v>
      </c>
      <c r="F54" s="175">
        <f t="shared" si="17"/>
        <v>5.1310855235986982E-2</v>
      </c>
      <c r="G54" s="202">
        <v>204631</v>
      </c>
      <c r="H54" s="175">
        <f t="shared" si="18"/>
        <v>6.4745294654038499E-2</v>
      </c>
      <c r="I54" s="202">
        <f t="shared" si="4"/>
        <v>276069</v>
      </c>
      <c r="J54" s="272">
        <f t="shared" si="5"/>
        <v>271197</v>
      </c>
      <c r="K54" s="177">
        <f t="shared" si="19"/>
        <v>6.3011333801121769E-2</v>
      </c>
      <c r="L54" s="79">
        <f t="shared" si="7"/>
        <v>68572</v>
      </c>
      <c r="M54" s="196">
        <f t="shared" si="8"/>
        <v>1750</v>
      </c>
      <c r="N54" s="238">
        <f>K72*M3</f>
        <v>3319.3299252979314</v>
      </c>
      <c r="O54" s="242">
        <f t="shared" si="9"/>
        <v>63502.670074702066</v>
      </c>
      <c r="P54" s="118">
        <f t="shared" si="15"/>
        <v>14613</v>
      </c>
      <c r="Q54" s="80">
        <f t="shared" si="3"/>
        <v>6253.5470345725698</v>
      </c>
      <c r="R54" s="181">
        <f t="shared" si="16"/>
        <v>0.10923393586638989</v>
      </c>
      <c r="S54" s="78"/>
      <c r="T54" s="194">
        <v>63508</v>
      </c>
      <c r="U54" s="196">
        <v>1750</v>
      </c>
      <c r="V54" s="196">
        <v>4508.8769598705021</v>
      </c>
      <c r="W54" s="195">
        <v>57249.123040129496</v>
      </c>
      <c r="X54" s="231">
        <v>13598</v>
      </c>
      <c r="Z54" s="176"/>
      <c r="AA54" s="257"/>
      <c r="AB54" s="80"/>
      <c r="AC54" s="80"/>
      <c r="AD54" s="258"/>
      <c r="AE54" s="80"/>
      <c r="AF54" s="258"/>
      <c r="AG54" s="258"/>
      <c r="AH54" s="257"/>
      <c r="AI54" s="80"/>
    </row>
    <row r="55" spans="1:36">
      <c r="A55" s="96">
        <v>47</v>
      </c>
      <c r="B55" s="72" t="s">
        <v>225</v>
      </c>
      <c r="C55" s="279">
        <v>81273</v>
      </c>
      <c r="D55" s="271">
        <v>85404</v>
      </c>
      <c r="E55" s="208">
        <v>25157</v>
      </c>
      <c r="F55" s="175">
        <f t="shared" si="17"/>
        <v>1.8069195458603606E-2</v>
      </c>
      <c r="G55" s="202">
        <v>51358</v>
      </c>
      <c r="H55" s="175">
        <f t="shared" si="18"/>
        <v>1.6249682808773397E-2</v>
      </c>
      <c r="I55" s="202">
        <f t="shared" si="4"/>
        <v>76515</v>
      </c>
      <c r="J55" s="272">
        <f t="shared" si="5"/>
        <v>81064</v>
      </c>
      <c r="K55" s="177">
        <f t="shared" si="19"/>
        <v>1.8834835058109546E-2</v>
      </c>
      <c r="L55" s="79">
        <f t="shared" si="7"/>
        <v>20497</v>
      </c>
      <c r="M55" s="196">
        <f t="shared" si="8"/>
        <v>1750</v>
      </c>
      <c r="N55" s="196"/>
      <c r="O55" s="242">
        <f t="shared" si="9"/>
        <v>18747</v>
      </c>
      <c r="P55" s="118">
        <f t="shared" si="15"/>
        <v>4368</v>
      </c>
      <c r="Q55" s="80">
        <f t="shared" si="3"/>
        <v>156</v>
      </c>
      <c r="R55" s="181">
        <f t="shared" si="16"/>
        <v>8.3911570114571562E-3</v>
      </c>
      <c r="S55" s="78"/>
      <c r="T55" s="194">
        <v>20341</v>
      </c>
      <c r="U55" s="196">
        <v>1750</v>
      </c>
      <c r="V55" s="196"/>
      <c r="W55" s="195">
        <v>18591</v>
      </c>
      <c r="X55" s="231">
        <v>4355</v>
      </c>
      <c r="Z55" s="176"/>
      <c r="AA55" s="257"/>
      <c r="AB55" s="80"/>
      <c r="AC55" s="80"/>
      <c r="AD55" s="258"/>
      <c r="AE55" s="80"/>
      <c r="AF55" s="258"/>
      <c r="AG55" s="258"/>
      <c r="AH55" s="257"/>
      <c r="AI55" s="80"/>
    </row>
    <row r="56" spans="1:36">
      <c r="A56" s="96">
        <v>48</v>
      </c>
      <c r="B56" s="128" t="s">
        <v>226</v>
      </c>
      <c r="C56" s="279">
        <v>14798</v>
      </c>
      <c r="D56" s="271">
        <v>15497</v>
      </c>
      <c r="E56" s="208">
        <v>8819</v>
      </c>
      <c r="F56" s="175">
        <f t="shared" si="17"/>
        <v>6.3343099236564462E-3</v>
      </c>
      <c r="G56" s="202">
        <v>6085</v>
      </c>
      <c r="H56" s="175">
        <f t="shared" si="18"/>
        <v>1.9252953754310162E-3</v>
      </c>
      <c r="I56" s="202">
        <f t="shared" si="4"/>
        <v>14904</v>
      </c>
      <c r="J56" s="272">
        <f t="shared" si="5"/>
        <v>15066</v>
      </c>
      <c r="K56" s="177">
        <f t="shared" si="19"/>
        <v>3.5005134829946515E-3</v>
      </c>
      <c r="L56" s="79">
        <f t="shared" si="7"/>
        <v>3809</v>
      </c>
      <c r="M56" s="196">
        <f t="shared" si="8"/>
        <v>1750</v>
      </c>
      <c r="N56" s="196"/>
      <c r="O56" s="242">
        <f t="shared" si="9"/>
        <v>2059</v>
      </c>
      <c r="P56" s="118">
        <f t="shared" si="15"/>
        <v>812</v>
      </c>
      <c r="Q56" s="80">
        <f>O56-W56</f>
        <v>138</v>
      </c>
      <c r="R56" s="181">
        <f t="shared" si="16"/>
        <v>7.1837584591358666E-2</v>
      </c>
      <c r="S56" s="78"/>
      <c r="T56" s="194">
        <v>3671</v>
      </c>
      <c r="U56" s="196">
        <v>1750</v>
      </c>
      <c r="V56" s="196"/>
      <c r="W56" s="195">
        <v>1921</v>
      </c>
      <c r="X56" s="231">
        <v>786</v>
      </c>
      <c r="Z56" s="176"/>
      <c r="AA56" s="257"/>
      <c r="AB56" s="80"/>
      <c r="AC56" s="80"/>
      <c r="AD56" s="258"/>
      <c r="AE56" s="80"/>
      <c r="AF56" s="258"/>
      <c r="AG56" s="258"/>
      <c r="AH56" s="257"/>
      <c r="AI56" s="80"/>
    </row>
    <row r="57" spans="1:36">
      <c r="A57" s="96">
        <v>49</v>
      </c>
      <c r="B57" s="72" t="s">
        <v>227</v>
      </c>
      <c r="C57" s="279">
        <v>61165</v>
      </c>
      <c r="D57" s="271">
        <v>69939</v>
      </c>
      <c r="E57" s="208">
        <v>20534</v>
      </c>
      <c r="F57" s="175">
        <f t="shared" si="17"/>
        <v>1.4748692592398397E-2</v>
      </c>
      <c r="G57" s="202">
        <v>47449</v>
      </c>
      <c r="H57" s="175">
        <f t="shared" si="18"/>
        <v>1.5012874325197418E-2</v>
      </c>
      <c r="I57" s="202">
        <f t="shared" si="4"/>
        <v>67983</v>
      </c>
      <c r="J57" s="272">
        <f t="shared" si="5"/>
        <v>66362</v>
      </c>
      <c r="K57" s="177">
        <f t="shared" si="19"/>
        <v>1.5418895244822187E-2</v>
      </c>
      <c r="L57" s="79">
        <f t="shared" si="7"/>
        <v>16780</v>
      </c>
      <c r="M57" s="196">
        <f t="shared" si="8"/>
        <v>1750</v>
      </c>
      <c r="N57" s="196"/>
      <c r="O57" s="242">
        <f t="shared" si="9"/>
        <v>15030</v>
      </c>
      <c r="P57" s="118">
        <f t="shared" si="15"/>
        <v>3576</v>
      </c>
      <c r="Q57" s="80">
        <f t="shared" si="3"/>
        <v>1518</v>
      </c>
      <c r="R57" s="181">
        <f t="shared" si="16"/>
        <v>0.11234458259325045</v>
      </c>
      <c r="S57" s="78"/>
      <c r="T57" s="194">
        <v>15262</v>
      </c>
      <c r="U57" s="196">
        <v>1750</v>
      </c>
      <c r="V57" s="196"/>
      <c r="W57" s="195">
        <v>13512</v>
      </c>
      <c r="X57" s="231">
        <v>3268</v>
      </c>
      <c r="Z57" s="176"/>
      <c r="AA57" s="257"/>
      <c r="AB57" s="80"/>
      <c r="AC57" s="80"/>
      <c r="AD57" s="258"/>
      <c r="AE57" s="80"/>
      <c r="AF57" s="258"/>
      <c r="AG57" s="258"/>
      <c r="AH57" s="257"/>
      <c r="AI57" s="80"/>
    </row>
    <row r="58" spans="1:36">
      <c r="A58" s="96">
        <v>50</v>
      </c>
      <c r="B58" s="72" t="s">
        <v>228</v>
      </c>
      <c r="C58" s="279">
        <v>35294</v>
      </c>
      <c r="D58" s="271">
        <v>36174</v>
      </c>
      <c r="E58" s="208">
        <v>10875</v>
      </c>
      <c r="F58" s="175">
        <f t="shared" si="17"/>
        <v>7.8110466515210171E-3</v>
      </c>
      <c r="G58" s="202">
        <v>29406</v>
      </c>
      <c r="H58" s="175">
        <f t="shared" si="18"/>
        <v>9.3040650468240692E-3</v>
      </c>
      <c r="I58" s="202">
        <f t="shared" si="4"/>
        <v>40281</v>
      </c>
      <c r="J58" s="272">
        <f t="shared" si="5"/>
        <v>37250</v>
      </c>
      <c r="K58" s="177">
        <f t="shared" si="19"/>
        <v>8.6548604302104579E-3</v>
      </c>
      <c r="L58" s="79">
        <f t="shared" si="7"/>
        <v>9419</v>
      </c>
      <c r="M58" s="196">
        <f t="shared" si="8"/>
        <v>1750</v>
      </c>
      <c r="N58" s="196"/>
      <c r="O58" s="242">
        <f t="shared" si="9"/>
        <v>7669</v>
      </c>
      <c r="P58" s="118">
        <f t="shared" si="15"/>
        <v>2007</v>
      </c>
      <c r="Q58" s="80">
        <f t="shared" si="3"/>
        <v>892</v>
      </c>
      <c r="R58" s="181">
        <f t="shared" si="16"/>
        <v>0.13162166150213958</v>
      </c>
      <c r="S58" s="78"/>
      <c r="T58" s="194">
        <v>8527</v>
      </c>
      <c r="U58" s="196">
        <v>1750</v>
      </c>
      <c r="V58" s="196"/>
      <c r="W58" s="195">
        <v>6777</v>
      </c>
      <c r="X58" s="231">
        <v>1826</v>
      </c>
      <c r="Z58" s="176"/>
      <c r="AA58" s="257"/>
      <c r="AB58" s="80"/>
      <c r="AC58" s="80"/>
      <c r="AD58" s="258"/>
      <c r="AE58" s="80"/>
      <c r="AF58" s="258"/>
      <c r="AG58" s="258"/>
      <c r="AH58" s="257"/>
      <c r="AI58" s="80"/>
    </row>
    <row r="59" spans="1:36">
      <c r="A59" s="96">
        <v>51</v>
      </c>
      <c r="B59" s="72" t="s">
        <v>178</v>
      </c>
      <c r="C59" s="279">
        <v>50570</v>
      </c>
      <c r="D59" s="271">
        <v>62757</v>
      </c>
      <c r="E59" s="208">
        <v>24280</v>
      </c>
      <c r="F59" s="175">
        <f t="shared" si="17"/>
        <v>1.7439283926338419E-2</v>
      </c>
      <c r="G59" s="202">
        <v>38784</v>
      </c>
      <c r="H59" s="175">
        <f t="shared" si="18"/>
        <v>1.2271266366592693E-2</v>
      </c>
      <c r="I59" s="202">
        <f t="shared" si="4"/>
        <v>63064</v>
      </c>
      <c r="J59" s="272">
        <f t="shared" si="5"/>
        <v>58797</v>
      </c>
      <c r="K59" s="177">
        <f t="shared" si="19"/>
        <v>1.3661203455438505E-2</v>
      </c>
      <c r="L59" s="79">
        <f t="shared" si="7"/>
        <v>14867</v>
      </c>
      <c r="M59" s="196">
        <f t="shared" si="8"/>
        <v>1750</v>
      </c>
      <c r="N59" s="196"/>
      <c r="O59" s="242">
        <f t="shared" si="9"/>
        <v>13117</v>
      </c>
      <c r="P59" s="118">
        <f t="shared" si="15"/>
        <v>3168</v>
      </c>
      <c r="Q59" s="80">
        <f t="shared" si="3"/>
        <v>1436</v>
      </c>
      <c r="R59" s="181">
        <f t="shared" si="16"/>
        <v>0.1229346802499786</v>
      </c>
      <c r="S59" s="78"/>
      <c r="T59" s="194">
        <v>13431</v>
      </c>
      <c r="U59" s="196">
        <v>1750</v>
      </c>
      <c r="V59" s="196"/>
      <c r="W59" s="195">
        <v>11681</v>
      </c>
      <c r="X59" s="231">
        <v>2876</v>
      </c>
      <c r="Z59" s="176"/>
      <c r="AA59" s="257"/>
      <c r="AB59" s="80"/>
      <c r="AC59" s="80"/>
      <c r="AD59" s="258"/>
      <c r="AE59" s="80"/>
      <c r="AF59" s="258"/>
      <c r="AG59" s="258"/>
      <c r="AH59" s="257"/>
      <c r="AI59" s="80"/>
    </row>
    <row r="60" spans="1:36">
      <c r="A60" s="96">
        <v>52</v>
      </c>
      <c r="B60" s="128" t="s">
        <v>229</v>
      </c>
      <c r="C60" s="279">
        <v>51741</v>
      </c>
      <c r="D60" s="271">
        <v>53820</v>
      </c>
      <c r="E60" s="208">
        <v>18919</v>
      </c>
      <c r="F60" s="175">
        <f t="shared" si="17"/>
        <v>1.3588707273574816E-2</v>
      </c>
      <c r="G60" s="202">
        <v>37009</v>
      </c>
      <c r="H60" s="175">
        <f t="shared" si="18"/>
        <v>1.1709655965378221E-2</v>
      </c>
      <c r="I60" s="202">
        <f t="shared" si="4"/>
        <v>55928</v>
      </c>
      <c r="J60" s="272">
        <f t="shared" si="5"/>
        <v>53830</v>
      </c>
      <c r="K60" s="177">
        <f t="shared" si="19"/>
        <v>1.2507144616328295E-2</v>
      </c>
      <c r="L60" s="79">
        <f t="shared" si="7"/>
        <v>13611</v>
      </c>
      <c r="M60" s="196">
        <f t="shared" si="8"/>
        <v>1750</v>
      </c>
      <c r="N60" s="196"/>
      <c r="O60" s="242">
        <f t="shared" si="9"/>
        <v>11861</v>
      </c>
      <c r="P60" s="118">
        <f t="shared" si="15"/>
        <v>2901</v>
      </c>
      <c r="Q60" s="80">
        <f t="shared" si="3"/>
        <v>1261</v>
      </c>
      <c r="R60" s="181">
        <f t="shared" si="16"/>
        <v>0.11896226415094339</v>
      </c>
      <c r="S60" s="78"/>
      <c r="T60" s="194">
        <v>12350</v>
      </c>
      <c r="U60" s="196">
        <v>1750</v>
      </c>
      <c r="V60" s="196"/>
      <c r="W60" s="195">
        <v>10600</v>
      </c>
      <c r="X60" s="231">
        <v>2644</v>
      </c>
      <c r="Z60" s="176"/>
      <c r="AA60" s="257"/>
      <c r="AB60" s="80"/>
      <c r="AC60" s="80"/>
      <c r="AD60" s="258"/>
      <c r="AE60" s="80"/>
      <c r="AF60" s="258"/>
      <c r="AG60" s="258"/>
      <c r="AH60" s="257"/>
      <c r="AI60" s="80"/>
    </row>
    <row r="61" spans="1:36">
      <c r="A61" s="96">
        <v>53</v>
      </c>
      <c r="B61" s="128" t="s">
        <v>230</v>
      </c>
      <c r="C61" s="279">
        <v>24328</v>
      </c>
      <c r="D61" s="271">
        <v>27274</v>
      </c>
      <c r="E61" s="208">
        <v>13279</v>
      </c>
      <c r="F61" s="175">
        <f t="shared" si="17"/>
        <v>9.5377368722342603E-3</v>
      </c>
      <c r="G61" s="202">
        <v>14372</v>
      </c>
      <c r="H61" s="175">
        <f t="shared" si="18"/>
        <v>4.5473040485940119E-3</v>
      </c>
      <c r="I61" s="202">
        <f t="shared" si="4"/>
        <v>27651</v>
      </c>
      <c r="J61" s="272">
        <f t="shared" si="5"/>
        <v>26418</v>
      </c>
      <c r="K61" s="177">
        <f t="shared" si="19"/>
        <v>6.1380967206791917E-3</v>
      </c>
      <c r="L61" s="79">
        <f t="shared" si="7"/>
        <v>6680</v>
      </c>
      <c r="M61" s="196">
        <f t="shared" si="8"/>
        <v>1750</v>
      </c>
      <c r="N61" s="196"/>
      <c r="O61" s="242">
        <f t="shared" si="9"/>
        <v>4930</v>
      </c>
      <c r="P61" s="118">
        <f t="shared" si="15"/>
        <v>1424</v>
      </c>
      <c r="Q61" s="80">
        <f t="shared" si="3"/>
        <v>212</v>
      </c>
      <c r="R61" s="181">
        <f t="shared" si="16"/>
        <v>4.4934294192454427E-2</v>
      </c>
      <c r="S61" s="78"/>
      <c r="T61" s="194">
        <v>6468</v>
      </c>
      <c r="U61" s="196">
        <v>1750</v>
      </c>
      <c r="V61" s="196"/>
      <c r="W61" s="195">
        <v>4718</v>
      </c>
      <c r="X61" s="231">
        <v>1385</v>
      </c>
      <c r="Z61" s="176"/>
      <c r="AA61" s="257"/>
      <c r="AB61" s="80"/>
      <c r="AC61" s="80"/>
      <c r="AD61" s="258"/>
      <c r="AE61" s="80"/>
      <c r="AF61" s="258"/>
      <c r="AG61" s="258"/>
      <c r="AH61" s="257"/>
      <c r="AI61" s="80"/>
    </row>
    <row r="62" spans="1:36" ht="15" customHeight="1" thickBot="1">
      <c r="A62" s="96">
        <v>54</v>
      </c>
      <c r="B62" s="72" t="s">
        <v>179</v>
      </c>
      <c r="C62" s="279">
        <v>34006</v>
      </c>
      <c r="D62" s="271">
        <v>34357</v>
      </c>
      <c r="E62" s="208">
        <v>15186</v>
      </c>
      <c r="F62" s="175">
        <f t="shared" si="17"/>
        <v>1.0907453282758453E-2</v>
      </c>
      <c r="G62" s="202">
        <v>18822</v>
      </c>
      <c r="H62" s="175">
        <f t="shared" si="18"/>
        <v>5.9552850544556425E-3</v>
      </c>
      <c r="I62" s="202">
        <f t="shared" si="4"/>
        <v>34008</v>
      </c>
      <c r="J62" s="272">
        <f t="shared" si="5"/>
        <v>34124</v>
      </c>
      <c r="K62" s="177">
        <f t="shared" si="19"/>
        <v>7.9285491898121261E-3</v>
      </c>
      <c r="L62" s="79">
        <f t="shared" si="7"/>
        <v>8628</v>
      </c>
      <c r="M62" s="196">
        <f t="shared" si="8"/>
        <v>1750</v>
      </c>
      <c r="N62" s="266"/>
      <c r="O62" s="267">
        <f t="shared" si="9"/>
        <v>6878</v>
      </c>
      <c r="P62" s="268">
        <f t="shared" si="15"/>
        <v>1839</v>
      </c>
      <c r="Q62" s="259">
        <f t="shared" si="3"/>
        <v>165</v>
      </c>
      <c r="R62" s="269">
        <f t="shared" si="16"/>
        <v>2.4579174735587666E-2</v>
      </c>
      <c r="S62" s="78"/>
      <c r="T62" s="194">
        <v>8463</v>
      </c>
      <c r="U62" s="196">
        <v>1750</v>
      </c>
      <c r="V62" s="196"/>
      <c r="W62" s="195">
        <v>6713</v>
      </c>
      <c r="X62" s="231">
        <v>1812</v>
      </c>
      <c r="Z62" s="176"/>
      <c r="AA62" s="257"/>
      <c r="AB62" s="80"/>
      <c r="AC62" s="80"/>
      <c r="AD62" s="258"/>
      <c r="AE62" s="259"/>
      <c r="AF62" s="258"/>
      <c r="AG62" s="258"/>
      <c r="AH62" s="257"/>
      <c r="AI62" s="80"/>
    </row>
    <row r="63" spans="1:36" s="75" customFormat="1" ht="19.5" customHeight="1" thickBot="1">
      <c r="B63" s="81" t="s">
        <v>231</v>
      </c>
      <c r="C63" s="82">
        <f>SUM(C9:C62)</f>
        <v>3919003</v>
      </c>
      <c r="D63" s="82">
        <f>SUM(D9:D62)</f>
        <v>4440001</v>
      </c>
      <c r="E63" s="82">
        <f t="shared" ref="E63:Q63" si="20">SUM(E9:E62)</f>
        <v>1392259</v>
      </c>
      <c r="F63" s="83">
        <f t="shared" si="20"/>
        <v>1.0000000000000002</v>
      </c>
      <c r="G63" s="82">
        <f t="shared" si="20"/>
        <v>3160554</v>
      </c>
      <c r="H63" s="83">
        <f t="shared" si="20"/>
        <v>0.99999999999999989</v>
      </c>
      <c r="I63" s="82">
        <f>SUM(I9:I62)</f>
        <v>4552813</v>
      </c>
      <c r="J63" s="82">
        <f t="shared" si="20"/>
        <v>4303940</v>
      </c>
      <c r="K63" s="83">
        <f t="shared" si="20"/>
        <v>1.0000000000000002</v>
      </c>
      <c r="L63" s="84">
        <f t="shared" si="20"/>
        <v>1088248</v>
      </c>
      <c r="M63" s="85">
        <f t="shared" si="20"/>
        <v>92750</v>
      </c>
      <c r="N63" s="85">
        <f t="shared" si="20"/>
        <v>15000</v>
      </c>
      <c r="O63" s="138">
        <f t="shared" si="20"/>
        <v>980498</v>
      </c>
      <c r="P63" s="119">
        <f t="shared" si="20"/>
        <v>231916</v>
      </c>
      <c r="Q63" s="85">
        <f t="shared" si="20"/>
        <v>75761</v>
      </c>
      <c r="R63" s="86">
        <f t="shared" si="16"/>
        <v>8.2816587834218705E-2</v>
      </c>
      <c r="T63" s="152">
        <f>SUM(T9:T62)</f>
        <v>1016507</v>
      </c>
      <c r="U63" s="87">
        <f>SUM(U9:U62)</f>
        <v>91000</v>
      </c>
      <c r="V63" s="87">
        <f>SUM(V9:V62)</f>
        <v>20000</v>
      </c>
      <c r="W63" s="87">
        <f>SUM(W9:W62)</f>
        <v>905507.00000000012</v>
      </c>
      <c r="X63" s="153">
        <f>SUM(X9:X62)</f>
        <v>217652</v>
      </c>
      <c r="Z63" s="201"/>
      <c r="AA63" s="201"/>
      <c r="AB63" s="87"/>
      <c r="AC63" s="87"/>
      <c r="AE63" s="151"/>
      <c r="AI63" s="201"/>
    </row>
    <row r="64" spans="1:36">
      <c r="L64" s="88"/>
      <c r="M64" s="89"/>
      <c r="N64" s="89"/>
      <c r="O64" s="89"/>
      <c r="P64" s="89"/>
      <c r="Q64" s="89"/>
      <c r="R64" s="90"/>
      <c r="T64" s="91"/>
      <c r="X64" s="92"/>
      <c r="AB64" s="80"/>
      <c r="AI64" s="276"/>
      <c r="AJ64" s="128"/>
    </row>
    <row r="65" spans="2:28" ht="13.8" thickBot="1">
      <c r="E65" s="93"/>
      <c r="F65" s="93"/>
      <c r="G65" s="93"/>
      <c r="H65" s="93"/>
      <c r="I65" s="93"/>
      <c r="J65" s="93"/>
      <c r="K65" s="94"/>
      <c r="L65" s="97"/>
      <c r="M65" s="98"/>
      <c r="N65" s="98"/>
      <c r="O65" s="99"/>
      <c r="P65" s="99"/>
      <c r="Q65" s="99"/>
      <c r="R65" s="100"/>
      <c r="T65" s="101"/>
      <c r="U65" s="102"/>
      <c r="V65" s="102"/>
      <c r="W65" s="151"/>
      <c r="X65" s="100"/>
      <c r="AB65" s="256"/>
    </row>
    <row r="66" spans="2:28">
      <c r="E66" s="95"/>
      <c r="F66" s="95"/>
      <c r="G66" s="95"/>
      <c r="H66" s="95"/>
      <c r="I66" s="95"/>
      <c r="J66" s="95"/>
      <c r="K66" s="96"/>
    </row>
    <row r="68" spans="2:28">
      <c r="I68" s="103"/>
      <c r="J68" s="103"/>
    </row>
    <row r="69" spans="2:28">
      <c r="B69" s="71"/>
      <c r="C69" s="71"/>
      <c r="D69" s="71"/>
      <c r="G69" s="71"/>
      <c r="I69" s="71" t="s">
        <v>310</v>
      </c>
    </row>
    <row r="70" spans="2:28" ht="19.5" customHeight="1">
      <c r="B70" s="128"/>
      <c r="C70" s="128"/>
      <c r="D70" s="128"/>
      <c r="G70" s="128"/>
      <c r="I70" s="128" t="s">
        <v>166</v>
      </c>
      <c r="J70" s="80">
        <f>J31</f>
        <v>671587</v>
      </c>
      <c r="K70" s="241">
        <f>J70/$J$73</f>
        <v>0.54799495730436099</v>
      </c>
    </row>
    <row r="71" spans="2:28">
      <c r="B71" s="128"/>
      <c r="C71" s="128"/>
      <c r="D71" s="128"/>
      <c r="G71" s="128"/>
      <c r="I71" s="128" t="s">
        <v>165</v>
      </c>
      <c r="J71" s="80">
        <f>J22</f>
        <v>282751</v>
      </c>
      <c r="K71" s="241">
        <f>J71/$J$73</f>
        <v>0.23071638100911029</v>
      </c>
    </row>
    <row r="72" spans="2:28" ht="13.8" thickBot="1">
      <c r="B72" s="128"/>
      <c r="C72" s="128"/>
      <c r="D72" s="128"/>
      <c r="G72" s="128"/>
      <c r="I72" s="128" t="s">
        <v>176</v>
      </c>
      <c r="J72" s="80">
        <f>J54</f>
        <v>271197</v>
      </c>
      <c r="K72" s="241">
        <f>J72/$J$73</f>
        <v>0.22128866168652875</v>
      </c>
    </row>
    <row r="73" spans="2:28" ht="21" customHeight="1" thickBot="1">
      <c r="B73" s="128"/>
      <c r="C73" s="128"/>
      <c r="D73" s="128"/>
      <c r="G73" s="128"/>
      <c r="I73" s="128" t="s">
        <v>157</v>
      </c>
      <c r="J73" s="239">
        <f>SUM(J70:J72)</f>
        <v>1225535</v>
      </c>
      <c r="K73" s="240">
        <f>SUM(K70:K72)</f>
        <v>1</v>
      </c>
    </row>
  </sheetData>
  <mergeCells count="3">
    <mergeCell ref="L6:R6"/>
    <mergeCell ref="L7:R7"/>
    <mergeCell ref="T7:X7"/>
  </mergeCells>
  <phoneticPr fontId="9" type="noConversion"/>
  <conditionalFormatting sqref="AF9:AF62">
    <cfRule type="cellIs" dxfId="2" priority="2" operator="lessThan">
      <formula>$AF$6</formula>
    </cfRule>
    <cfRule type="cellIs" dxfId="1" priority="3" operator="greaterThan">
      <formula>$AF$6</formula>
    </cfRule>
  </conditionalFormatting>
  <conditionalFormatting sqref="AG9:AG62">
    <cfRule type="cellIs" dxfId="0" priority="1" operator="greaterThan">
      <formula>0</formula>
    </cfRule>
  </conditionalFormatting>
  <printOptions horizontalCentered="1" gridLines="1"/>
  <pageMargins left="0.2" right="0.2" top="0.52" bottom="0.41" header="0.23" footer="0.17"/>
  <pageSetup scale="54" orientation="landscape" r:id="rId1"/>
  <headerFooter>
    <oddHeader>&amp;C2025 Preliminary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69921875" defaultRowHeight="13.8"/>
  <cols>
    <col min="1" max="1" width="32.69921875" customWidth="1"/>
    <col min="2" max="2" width="10.09765625" customWidth="1"/>
    <col min="3" max="8" width="9.3984375" customWidth="1"/>
    <col min="9" max="9" width="9.69921875" bestFit="1" customWidth="1"/>
    <col min="10" max="10" width="9.19921875" bestFit="1" customWidth="1"/>
    <col min="11" max="14" width="9" customWidth="1"/>
    <col min="15" max="15" width="9.3984375" customWidth="1"/>
    <col min="16" max="17" width="11" customWidth="1"/>
    <col min="18" max="20" width="0" hidden="1" customWidth="1"/>
  </cols>
  <sheetData>
    <row r="1" spans="1:20">
      <c r="A1" s="27" t="s">
        <v>232</v>
      </c>
      <c r="B1" s="183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">
      <c r="A2" s="27" t="s">
        <v>233</v>
      </c>
      <c r="B2" s="18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0">
      <c r="A3" s="29">
        <v>45413</v>
      </c>
      <c r="B3" s="18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0">
      <c r="A4" s="30"/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0" ht="14.4" thickBot="1">
      <c r="A5" s="28"/>
      <c r="B5" s="32"/>
      <c r="C5" s="314"/>
      <c r="D5" s="314"/>
      <c r="E5" s="314"/>
      <c r="F5" s="314"/>
      <c r="G5" s="155"/>
      <c r="H5" s="155"/>
      <c r="I5" s="314"/>
      <c r="J5" s="314"/>
      <c r="K5" s="27"/>
      <c r="L5" s="27"/>
      <c r="M5" s="27"/>
      <c r="N5" s="27"/>
      <c r="O5" s="28"/>
    </row>
    <row r="6" spans="1:20" ht="36" customHeight="1" thickBot="1">
      <c r="A6" s="28"/>
      <c r="B6" s="33" t="s">
        <v>234</v>
      </c>
      <c r="C6" s="34" t="s">
        <v>235</v>
      </c>
      <c r="D6" s="35">
        <v>2001</v>
      </c>
      <c r="E6" s="35">
        <v>2002</v>
      </c>
      <c r="F6" s="35">
        <v>2003</v>
      </c>
      <c r="G6" s="36" t="s">
        <v>236</v>
      </c>
      <c r="H6" s="36" t="s">
        <v>237</v>
      </c>
      <c r="I6" s="35">
        <v>2004</v>
      </c>
      <c r="J6" s="35" t="s">
        <v>238</v>
      </c>
      <c r="K6" s="37">
        <v>2011</v>
      </c>
      <c r="L6" s="37">
        <v>2012</v>
      </c>
      <c r="M6" s="37" t="s">
        <v>239</v>
      </c>
      <c r="N6" s="33" t="s">
        <v>431</v>
      </c>
      <c r="O6" s="38" t="s">
        <v>292</v>
      </c>
      <c r="P6" s="155"/>
      <c r="Q6" s="155"/>
      <c r="R6" s="155"/>
      <c r="S6" s="155"/>
      <c r="T6" s="39"/>
    </row>
    <row r="7" spans="1:20">
      <c r="A7" s="40" t="s">
        <v>240</v>
      </c>
      <c r="B7" s="3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>
        <v>0</v>
      </c>
    </row>
    <row r="8" spans="1:20">
      <c r="A8" s="27" t="s">
        <v>241</v>
      </c>
      <c r="B8" s="32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>
        <v>24000</v>
      </c>
      <c r="N8" s="184"/>
      <c r="O8" s="42">
        <f>SUM(C8:N8)</f>
        <v>24000</v>
      </c>
      <c r="P8" s="184"/>
      <c r="Q8" s="184"/>
      <c r="R8" s="184"/>
      <c r="S8" s="184"/>
      <c r="T8" s="28"/>
    </row>
    <row r="9" spans="1:20">
      <c r="A9" s="28" t="s">
        <v>242</v>
      </c>
      <c r="B9" s="185">
        <v>54000</v>
      </c>
      <c r="C9" s="41">
        <f>$B$9/4</f>
        <v>13500</v>
      </c>
      <c r="D9" s="41">
        <f>$B$9/4</f>
        <v>13500</v>
      </c>
      <c r="E9" s="41">
        <f>$B$9/4</f>
        <v>13500</v>
      </c>
      <c r="F9" s="41">
        <v>13500</v>
      </c>
      <c r="G9" s="41">
        <v>-18507</v>
      </c>
      <c r="H9" s="41">
        <v>18507</v>
      </c>
      <c r="I9" s="28"/>
      <c r="J9" s="114">
        <v>11000</v>
      </c>
      <c r="K9" s="114"/>
      <c r="L9" s="114"/>
      <c r="M9" s="114">
        <v>-65000</v>
      </c>
      <c r="N9" s="114"/>
      <c r="O9" s="42">
        <f>SUM(C9:N9)</f>
        <v>0</v>
      </c>
      <c r="P9" s="41"/>
      <c r="Q9" s="28"/>
      <c r="R9" s="28"/>
      <c r="S9" s="28"/>
      <c r="T9" s="41"/>
    </row>
    <row r="10" spans="1:20">
      <c r="A10" s="28" t="s">
        <v>243</v>
      </c>
      <c r="B10" s="185">
        <v>28000</v>
      </c>
      <c r="C10" s="41">
        <f>$B$10/4</f>
        <v>7000</v>
      </c>
      <c r="D10" s="41">
        <f>$B$10/4</f>
        <v>7000</v>
      </c>
      <c r="E10" s="41">
        <f>$B$10/4</f>
        <v>7000</v>
      </c>
      <c r="F10" s="41">
        <f>$B$10/4</f>
        <v>7000</v>
      </c>
      <c r="G10" s="41"/>
      <c r="H10" s="41"/>
      <c r="I10" s="280"/>
      <c r="J10" s="280">
        <v>-3000</v>
      </c>
      <c r="K10" s="114"/>
      <c r="L10" s="114"/>
      <c r="M10" s="114">
        <v>-25000</v>
      </c>
      <c r="N10" s="114"/>
      <c r="O10" s="42">
        <f>SUM(C10:N10)</f>
        <v>0</v>
      </c>
      <c r="P10" s="41"/>
      <c r="Q10" s="28"/>
      <c r="R10" s="28"/>
      <c r="S10" s="28"/>
      <c r="T10" s="41"/>
    </row>
    <row r="11" spans="1:20">
      <c r="A11" s="28"/>
      <c r="B11" s="32"/>
      <c r="C11" s="41"/>
      <c r="D11" s="28"/>
      <c r="E11" s="28"/>
      <c r="F11" s="28"/>
      <c r="G11" s="28"/>
      <c r="H11" s="28"/>
      <c r="I11" s="280"/>
      <c r="J11" s="280"/>
      <c r="K11" s="114"/>
      <c r="L11" s="114"/>
      <c r="M11" s="114"/>
      <c r="N11" s="114"/>
      <c r="O11" s="28"/>
      <c r="P11" s="28"/>
      <c r="Q11" s="28"/>
      <c r="R11" s="28"/>
      <c r="S11" s="28"/>
      <c r="T11" s="28"/>
    </row>
    <row r="12" spans="1:20">
      <c r="A12" s="28"/>
      <c r="B12" s="32"/>
      <c r="C12" s="41"/>
      <c r="D12" s="28"/>
      <c r="E12" s="28"/>
      <c r="F12" s="28"/>
      <c r="G12" s="28"/>
      <c r="H12" s="28"/>
      <c r="I12" s="280"/>
      <c r="J12" s="280"/>
      <c r="K12" s="114"/>
      <c r="L12" s="114"/>
      <c r="M12" s="114"/>
      <c r="N12" s="114"/>
      <c r="O12" s="28"/>
      <c r="P12" s="28"/>
      <c r="Q12" s="28"/>
      <c r="R12" s="28"/>
      <c r="S12" s="28"/>
      <c r="T12" s="28"/>
    </row>
    <row r="13" spans="1:20">
      <c r="A13" s="28"/>
      <c r="B13" s="32"/>
      <c r="C13" s="28"/>
      <c r="D13" s="28"/>
      <c r="E13" s="28"/>
      <c r="F13" s="28"/>
      <c r="G13" s="28"/>
      <c r="H13" s="28"/>
      <c r="I13" s="280"/>
      <c r="J13" s="280"/>
      <c r="K13" s="114"/>
      <c r="L13" s="114"/>
      <c r="M13" s="114"/>
      <c r="N13" s="114"/>
      <c r="O13" s="28"/>
      <c r="P13" s="28"/>
      <c r="Q13" s="28"/>
      <c r="R13" s="28"/>
      <c r="S13" s="28"/>
      <c r="T13" s="28"/>
    </row>
    <row r="14" spans="1:20">
      <c r="A14" s="27" t="s">
        <v>244</v>
      </c>
      <c r="B14" s="32"/>
      <c r="C14" s="28"/>
      <c r="D14" s="28"/>
      <c r="E14" s="28"/>
      <c r="F14" s="28"/>
      <c r="G14" s="28"/>
      <c r="H14" s="28"/>
      <c r="I14" s="280"/>
      <c r="J14" s="280"/>
      <c r="K14" s="114"/>
      <c r="L14" s="114"/>
      <c r="M14" s="114"/>
      <c r="N14" s="114"/>
      <c r="O14" s="28"/>
      <c r="P14" s="28"/>
      <c r="Q14" s="28"/>
      <c r="R14" s="28"/>
      <c r="S14" s="28"/>
      <c r="T14" s="28"/>
    </row>
    <row r="15" spans="1:20">
      <c r="A15" s="28" t="s">
        <v>245</v>
      </c>
      <c r="B15" s="185">
        <v>260000</v>
      </c>
      <c r="C15" s="114">
        <f>$B$15/10</f>
        <v>26000</v>
      </c>
      <c r="D15" s="114">
        <f>$B$15/10</f>
        <v>26000</v>
      </c>
      <c r="E15" s="114">
        <f>$B$15/10</f>
        <v>26000</v>
      </c>
      <c r="F15" s="114">
        <f>$B$15/10</f>
        <v>26000</v>
      </c>
      <c r="G15" s="114"/>
      <c r="H15" s="114"/>
      <c r="I15" s="114">
        <v>26000</v>
      </c>
      <c r="J15" s="280">
        <v>0</v>
      </c>
      <c r="K15" s="114">
        <v>-19683</v>
      </c>
      <c r="L15" s="114">
        <v>-85292</v>
      </c>
      <c r="M15" s="114">
        <v>94975</v>
      </c>
      <c r="N15" s="114"/>
      <c r="O15" s="42">
        <f>SUM(C15:N15)</f>
        <v>120000</v>
      </c>
      <c r="P15" s="182"/>
      <c r="Q15" s="28"/>
      <c r="R15" s="28"/>
      <c r="S15" s="28"/>
      <c r="T15" s="41"/>
    </row>
    <row r="16" spans="1:20">
      <c r="A16" s="28"/>
      <c r="B16" s="32"/>
      <c r="C16" s="28"/>
      <c r="D16" s="28"/>
      <c r="E16" s="28"/>
      <c r="F16" s="28"/>
      <c r="G16" s="28"/>
      <c r="H16" s="28"/>
      <c r="I16" s="280"/>
      <c r="J16" s="280"/>
      <c r="K16" s="114"/>
      <c r="L16" s="114"/>
      <c r="M16" s="114"/>
      <c r="N16" s="114"/>
      <c r="O16" s="28"/>
      <c r="P16" s="28"/>
      <c r="Q16" s="28"/>
      <c r="R16" s="28"/>
      <c r="S16" s="28"/>
      <c r="T16" s="28"/>
    </row>
    <row r="17" spans="1:20">
      <c r="A17" s="28"/>
      <c r="B17" s="32"/>
      <c r="C17" s="28"/>
      <c r="D17" s="28"/>
      <c r="E17" s="28"/>
      <c r="F17" s="28"/>
      <c r="G17" s="28"/>
      <c r="H17" s="28"/>
      <c r="I17" s="280"/>
      <c r="J17" s="280"/>
      <c r="K17" s="114"/>
      <c r="L17" s="114"/>
      <c r="M17" s="114"/>
      <c r="N17" s="114"/>
      <c r="O17" s="28"/>
      <c r="P17" s="28"/>
      <c r="Q17" s="28"/>
      <c r="R17" s="28"/>
      <c r="S17" s="28"/>
      <c r="T17" s="28"/>
    </row>
    <row r="18" spans="1:20">
      <c r="A18" s="28"/>
      <c r="B18" s="32"/>
      <c r="C18" s="28"/>
      <c r="D18" s="28"/>
      <c r="E18" s="28"/>
      <c r="F18" s="28"/>
      <c r="G18" s="28"/>
      <c r="H18" s="28"/>
      <c r="I18" s="280"/>
      <c r="J18" s="280"/>
      <c r="K18" s="114"/>
      <c r="L18" s="114"/>
      <c r="M18" s="114"/>
      <c r="N18" s="114"/>
      <c r="O18" s="28"/>
      <c r="P18" s="28"/>
      <c r="Q18" s="28"/>
      <c r="R18" s="28"/>
      <c r="S18" s="28"/>
      <c r="T18" s="28"/>
    </row>
    <row r="19" spans="1:20">
      <c r="A19" s="27" t="s">
        <v>246</v>
      </c>
      <c r="B19" s="32"/>
      <c r="C19" s="28"/>
      <c r="D19" s="28"/>
      <c r="E19" s="28"/>
      <c r="F19" s="28"/>
      <c r="G19" s="28"/>
      <c r="H19" s="28"/>
      <c r="I19" s="280"/>
      <c r="J19" s="280"/>
      <c r="K19" s="114"/>
      <c r="L19" s="114"/>
      <c r="M19" s="114"/>
      <c r="N19" s="114"/>
      <c r="O19" s="28"/>
      <c r="P19" s="28"/>
      <c r="Q19" s="28"/>
      <c r="R19" s="28"/>
      <c r="S19" s="28"/>
      <c r="T19" s="28"/>
    </row>
    <row r="20" spans="1:20">
      <c r="A20" s="28" t="s">
        <v>247</v>
      </c>
      <c r="B20" s="185">
        <v>30000</v>
      </c>
      <c r="C20" s="114">
        <f>$B$20/4</f>
        <v>7500</v>
      </c>
      <c r="D20" s="114">
        <f>$B$20/4</f>
        <v>7500</v>
      </c>
      <c r="E20" s="114">
        <f>$B$20/4</f>
        <v>7500</v>
      </c>
      <c r="F20" s="114">
        <v>7500</v>
      </c>
      <c r="G20" s="114">
        <v>-21000</v>
      </c>
      <c r="H20" s="114">
        <v>21000</v>
      </c>
      <c r="I20" s="280"/>
      <c r="J20" s="280">
        <v>-5000</v>
      </c>
      <c r="K20" s="114"/>
      <c r="L20" s="114"/>
      <c r="M20" s="114"/>
      <c r="N20" s="114"/>
      <c r="O20" s="42">
        <f>SUM(C20:N20)</f>
        <v>25000</v>
      </c>
      <c r="P20" s="182"/>
      <c r="Q20" s="28"/>
      <c r="R20" s="28"/>
      <c r="S20" s="28"/>
      <c r="T20" s="41"/>
    </row>
    <row r="21" spans="1:20">
      <c r="A21" s="28" t="s">
        <v>248</v>
      </c>
      <c r="B21" s="185">
        <v>30000</v>
      </c>
      <c r="C21" s="114">
        <f>$B$21/4</f>
        <v>7500</v>
      </c>
      <c r="D21" s="114">
        <f>$B$21/4</f>
        <v>7500</v>
      </c>
      <c r="E21" s="114">
        <f>$B$21/4</f>
        <v>7500</v>
      </c>
      <c r="F21" s="114">
        <f>$B$21/4</f>
        <v>7500</v>
      </c>
      <c r="G21" s="114"/>
      <c r="H21" s="114"/>
      <c r="I21" s="280"/>
      <c r="J21" s="280"/>
      <c r="K21" s="114"/>
      <c r="L21" s="114"/>
      <c r="O21" s="42">
        <f>SUM(C21:N21)</f>
        <v>30000</v>
      </c>
      <c r="P21" s="182"/>
      <c r="Q21" s="28"/>
      <c r="R21" s="28"/>
      <c r="S21" s="28"/>
      <c r="T21" s="41"/>
    </row>
    <row r="22" spans="1:20">
      <c r="A22" s="28"/>
      <c r="B22" s="32"/>
      <c r="C22" s="28"/>
      <c r="D22" s="28"/>
      <c r="E22" s="28"/>
      <c r="F22" s="28"/>
      <c r="G22" s="28"/>
      <c r="H22" s="28"/>
      <c r="I22" s="280"/>
      <c r="J22" s="280"/>
      <c r="K22" s="114"/>
      <c r="L22" s="114"/>
      <c r="M22" s="114"/>
      <c r="N22" s="114"/>
      <c r="O22" s="28"/>
      <c r="P22" s="28"/>
      <c r="Q22" s="28"/>
      <c r="R22" s="28"/>
      <c r="S22" s="28"/>
      <c r="T22" s="28"/>
    </row>
    <row r="23" spans="1:20">
      <c r="A23" s="28"/>
      <c r="B23" s="32"/>
      <c r="C23" s="28"/>
      <c r="D23" s="28"/>
      <c r="E23" s="28"/>
      <c r="F23" s="28"/>
      <c r="G23" s="28"/>
      <c r="H23" s="28"/>
      <c r="I23" s="280"/>
      <c r="J23" s="280"/>
      <c r="K23" s="114"/>
      <c r="L23" s="114"/>
      <c r="M23" s="114"/>
      <c r="N23" s="114"/>
      <c r="O23" s="28"/>
      <c r="P23" s="28"/>
      <c r="Q23" s="28"/>
      <c r="R23" s="28"/>
      <c r="S23" s="28"/>
      <c r="T23" s="28"/>
    </row>
    <row r="24" spans="1:20">
      <c r="A24" s="28"/>
      <c r="B24" s="32"/>
      <c r="C24" s="28"/>
      <c r="D24" s="28"/>
      <c r="E24" s="28"/>
      <c r="F24" s="28"/>
      <c r="G24" s="28"/>
      <c r="H24" s="28"/>
      <c r="I24" s="280"/>
      <c r="J24" s="280"/>
      <c r="K24" s="114"/>
      <c r="L24" s="114"/>
      <c r="M24" s="114"/>
      <c r="N24" s="114"/>
      <c r="O24" s="28"/>
      <c r="P24" s="28"/>
      <c r="Q24" s="28"/>
      <c r="R24" s="28"/>
      <c r="S24" s="28"/>
      <c r="T24" s="28"/>
    </row>
    <row r="25" spans="1:20">
      <c r="A25" s="27" t="s">
        <v>249</v>
      </c>
      <c r="B25" s="186">
        <v>0.1</v>
      </c>
      <c r="C25" s="43">
        <f>SUM(C9:C21)*0.1</f>
        <v>6150</v>
      </c>
      <c r="D25" s="43">
        <f>SUM(D9:D21)*0.1</f>
        <v>6150</v>
      </c>
      <c r="E25" s="43">
        <f>SUM(E9:E21)*0.1</f>
        <v>6150</v>
      </c>
      <c r="F25" s="43">
        <f>SUM(F9:F21)*0.1</f>
        <v>6150</v>
      </c>
      <c r="G25" s="43"/>
      <c r="H25" s="43"/>
      <c r="I25" s="280">
        <v>3400</v>
      </c>
      <c r="J25" s="280">
        <v>-3000</v>
      </c>
      <c r="K25" s="114"/>
      <c r="L25" s="114"/>
      <c r="M25" s="114"/>
      <c r="N25" s="114"/>
      <c r="O25" s="42">
        <f>SUM(C25:N25)</f>
        <v>25000</v>
      </c>
      <c r="P25" s="43"/>
      <c r="Q25" s="28"/>
      <c r="R25" s="28"/>
      <c r="S25" s="28"/>
      <c r="T25" s="43"/>
    </row>
    <row r="26" spans="1:20">
      <c r="A26" s="28"/>
      <c r="B26" s="32"/>
      <c r="C26" s="28"/>
      <c r="D26" s="28"/>
      <c r="E26" s="28"/>
      <c r="F26" s="28"/>
      <c r="G26" s="28"/>
      <c r="H26" s="28"/>
      <c r="I26" s="280"/>
      <c r="J26" s="280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4" thickBot="1">
      <c r="A27" s="28"/>
      <c r="B27" s="3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4" thickBot="1">
      <c r="A28" s="27" t="s">
        <v>250</v>
      </c>
      <c r="B28" s="32"/>
      <c r="C28" s="187">
        <f t="shared" ref="C28:K28" si="0">SUM(C9:C27)</f>
        <v>67650</v>
      </c>
      <c r="D28" s="187">
        <f t="shared" si="0"/>
        <v>67650</v>
      </c>
      <c r="E28" s="187">
        <f t="shared" si="0"/>
        <v>67650</v>
      </c>
      <c r="F28" s="187">
        <f t="shared" si="0"/>
        <v>67650</v>
      </c>
      <c r="G28" s="187">
        <f t="shared" si="0"/>
        <v>-39507</v>
      </c>
      <c r="H28" s="187">
        <f t="shared" si="0"/>
        <v>39507</v>
      </c>
      <c r="I28" s="187">
        <f t="shared" si="0"/>
        <v>29400</v>
      </c>
      <c r="J28" s="187">
        <f t="shared" si="0"/>
        <v>0</v>
      </c>
      <c r="K28" s="187">
        <f t="shared" si="0"/>
        <v>-19683</v>
      </c>
      <c r="L28" s="187">
        <f>SUM(L9:L27)</f>
        <v>-85292</v>
      </c>
      <c r="M28" s="187">
        <f>SUM(M8:M27)</f>
        <v>28975</v>
      </c>
      <c r="N28" s="187">
        <f>SUM(N8:N27)</f>
        <v>0</v>
      </c>
      <c r="O28" s="187">
        <f>SUM(O8:O27)</f>
        <v>224000</v>
      </c>
      <c r="P28" s="184"/>
      <c r="Q28" s="184"/>
      <c r="R28" s="184"/>
      <c r="S28" s="184"/>
      <c r="T28" s="184"/>
    </row>
    <row r="29" spans="1:20" ht="14.4" thickBot="1"/>
    <row r="30" spans="1:20" ht="14.4" thickBot="1">
      <c r="A30" s="44" t="s">
        <v>251</v>
      </c>
      <c r="C30" s="45">
        <f>C28</f>
        <v>67650</v>
      </c>
      <c r="D30" s="45">
        <f t="shared" ref="D30:K30" si="1">C30+D28</f>
        <v>135300</v>
      </c>
      <c r="E30" s="45">
        <f t="shared" si="1"/>
        <v>202950</v>
      </c>
      <c r="F30" s="45">
        <f t="shared" si="1"/>
        <v>270600</v>
      </c>
      <c r="G30" s="45">
        <f t="shared" si="1"/>
        <v>231093</v>
      </c>
      <c r="H30" s="45">
        <f t="shared" si="1"/>
        <v>270600</v>
      </c>
      <c r="I30" s="45">
        <f t="shared" si="1"/>
        <v>300000</v>
      </c>
      <c r="J30" s="45">
        <f t="shared" si="1"/>
        <v>300000</v>
      </c>
      <c r="K30" s="45">
        <f t="shared" si="1"/>
        <v>280317</v>
      </c>
      <c r="L30" s="45">
        <f>K30+L28</f>
        <v>195025</v>
      </c>
      <c r="M30" s="45">
        <f>L30+M28</f>
        <v>224000</v>
      </c>
      <c r="N30" s="45">
        <f>M30+N28</f>
        <v>224000</v>
      </c>
      <c r="O30" s="45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&amp;C&amp;K0000002025 Preliminary MORE Budget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2025 Preliminary budget</vt:lpstr>
      <vt:lpstr>Carryover</vt:lpstr>
      <vt:lpstr>2025 Cost to Libs</vt:lpstr>
      <vt:lpstr>MORE Formula w 3-yr Avg '21-'23</vt:lpstr>
      <vt:lpstr>Reserves</vt:lpstr>
      <vt:lpstr>'2025 Cost to Libs'!Print_Area</vt:lpstr>
      <vt:lpstr>'2025 Preliminary budget'!Print_Area</vt:lpstr>
      <vt:lpstr>Carryover!Print_Area</vt:lpstr>
      <vt:lpstr>'MORE Formula w 3-yr Avg ''21-''23'!Print_Area</vt:lpstr>
      <vt:lpstr>'2025 Cost to Libs'!Print_Titles</vt:lpstr>
      <vt:lpstr>'2025 Preliminary budget'!Print_Titles</vt:lpstr>
      <vt:lpstr>'MORE Formula w 3-yr Avg ''21-''23'!Print_Titles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Lori Roholt</cp:lastModifiedBy>
  <cp:lastPrinted>2024-05-15T16:04:48Z</cp:lastPrinted>
  <dcterms:created xsi:type="dcterms:W3CDTF">2001-03-30T14:44:35Z</dcterms:created>
  <dcterms:modified xsi:type="dcterms:W3CDTF">2024-05-15T16:06:30Z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