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VOLUME5\Administrata\2024 MORE Budget Planning\"/>
    </mc:Choice>
  </mc:AlternateContent>
  <xr:revisionPtr revIDLastSave="0" documentId="13_ncr:1_{294BFE16-01B9-48A5-A4B9-7272C0EFD209}" xr6:coauthVersionLast="47" xr6:coauthVersionMax="47" xr10:uidLastSave="{00000000-0000-0000-0000-000000000000}"/>
  <bookViews>
    <workbookView xWindow="-120" yWindow="-120" windowWidth="24240" windowHeight="13290" tabRatio="573" xr2:uid="{00000000-000D-0000-FFFF-FFFF00000000}"/>
  </bookViews>
  <sheets>
    <sheet name="2024 Preliminary budget" sheetId="18" r:id="rId1"/>
    <sheet name="Carryover" sheetId="22" r:id="rId2"/>
    <sheet name="2024 Cost to Libs" sheetId="20" r:id="rId3"/>
    <sheet name="MORE Formula w 3-yr Avg '20-'22" sheetId="21" r:id="rId4"/>
    <sheet name="Reserves" sheetId="19" r:id="rId5"/>
  </sheets>
  <definedNames>
    <definedName name="_xlnm.Print_Area" localSheetId="0">'2024 Preliminary budget'!$A$1:$I$49</definedName>
    <definedName name="_xlnm.Print_Area" localSheetId="1">Carryover!$A$1:$F$133</definedName>
    <definedName name="_xlnm.Print_Area" localSheetId="3">'MORE Formula w 3-yr Avg ''20-''22'!$A$1:$X$62</definedName>
    <definedName name="_xlnm.Print_Titles" localSheetId="2">'2024 Cost to Libs'!$10:$10</definedName>
    <definedName name="_xlnm.Print_Titles" localSheetId="0">'2024 Preliminary budget'!$5:$6</definedName>
    <definedName name="_xlnm.Print_Titles" localSheetId="3">'MORE Formula w 3-yr Avg ''20-''22'!$B:$B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20" l="1"/>
  <c r="J64" i="20"/>
  <c r="H64" i="20"/>
  <c r="F64" i="20"/>
  <c r="E64" i="20"/>
  <c r="D63" i="20"/>
  <c r="D64" i="20"/>
  <c r="L25" i="21" l="1"/>
  <c r="F5" i="21" l="1"/>
  <c r="M1" i="21"/>
  <c r="I62" i="21" l="1"/>
  <c r="I25" i="21"/>
  <c r="H73" i="20"/>
  <c r="J25" i="21" l="1"/>
  <c r="I24" i="21"/>
  <c r="J24" i="21" s="1"/>
  <c r="I10" i="21"/>
  <c r="J10" i="21" s="1"/>
  <c r="I11" i="21"/>
  <c r="J11" i="21" s="1"/>
  <c r="I12" i="21"/>
  <c r="J12" i="21" s="1"/>
  <c r="I13" i="21"/>
  <c r="J13" i="21" s="1"/>
  <c r="I14" i="21"/>
  <c r="J14" i="21" s="1"/>
  <c r="I15" i="21"/>
  <c r="J15" i="21" s="1"/>
  <c r="I16" i="21"/>
  <c r="J16" i="21" s="1"/>
  <c r="I17" i="21"/>
  <c r="J17" i="21" s="1"/>
  <c r="I18" i="21"/>
  <c r="J18" i="21" s="1"/>
  <c r="I19" i="21"/>
  <c r="J19" i="21" s="1"/>
  <c r="I20" i="21"/>
  <c r="J20" i="21" s="1"/>
  <c r="I21" i="21"/>
  <c r="J21" i="21" s="1"/>
  <c r="I22" i="21"/>
  <c r="J22" i="21" s="1"/>
  <c r="I23" i="21"/>
  <c r="J23" i="21" s="1"/>
  <c r="I26" i="21"/>
  <c r="J26" i="21" s="1"/>
  <c r="I27" i="21"/>
  <c r="J27" i="21" s="1"/>
  <c r="I28" i="21"/>
  <c r="J28" i="21" s="1"/>
  <c r="I29" i="21"/>
  <c r="J29" i="21" s="1"/>
  <c r="I30" i="21"/>
  <c r="J30" i="21" s="1"/>
  <c r="I31" i="21"/>
  <c r="J31" i="21" s="1"/>
  <c r="I32" i="21"/>
  <c r="J32" i="21" s="1"/>
  <c r="I33" i="21"/>
  <c r="J33" i="21" s="1"/>
  <c r="I34" i="21"/>
  <c r="J34" i="21" s="1"/>
  <c r="I35" i="21"/>
  <c r="J35" i="21" s="1"/>
  <c r="I36" i="21"/>
  <c r="J36" i="21" s="1"/>
  <c r="I37" i="21"/>
  <c r="J37" i="21" s="1"/>
  <c r="I38" i="21"/>
  <c r="J38" i="21" s="1"/>
  <c r="I39" i="21"/>
  <c r="J39" i="21" s="1"/>
  <c r="I40" i="21"/>
  <c r="J40" i="21" s="1"/>
  <c r="I41" i="21"/>
  <c r="J41" i="21" s="1"/>
  <c r="I42" i="21"/>
  <c r="J42" i="21" s="1"/>
  <c r="I43" i="21"/>
  <c r="J43" i="21" s="1"/>
  <c r="I44" i="21"/>
  <c r="J44" i="21" s="1"/>
  <c r="I45" i="21"/>
  <c r="J45" i="21" s="1"/>
  <c r="I46" i="21"/>
  <c r="J46" i="21" s="1"/>
  <c r="I47" i="21"/>
  <c r="J47" i="21" s="1"/>
  <c r="I48" i="21"/>
  <c r="J48" i="21" s="1"/>
  <c r="I49" i="21"/>
  <c r="J49" i="21" s="1"/>
  <c r="I50" i="21"/>
  <c r="J50" i="21" s="1"/>
  <c r="I51" i="21"/>
  <c r="J51" i="21" s="1"/>
  <c r="I52" i="21"/>
  <c r="J52" i="21" s="1"/>
  <c r="I53" i="21"/>
  <c r="J53" i="21" s="1"/>
  <c r="I54" i="21"/>
  <c r="J54" i="21" s="1"/>
  <c r="I55" i="21"/>
  <c r="J55" i="21" s="1"/>
  <c r="I56" i="21"/>
  <c r="J56" i="21" s="1"/>
  <c r="I57" i="21"/>
  <c r="J57" i="21" s="1"/>
  <c r="I58" i="21"/>
  <c r="J58" i="21" s="1"/>
  <c r="I59" i="21"/>
  <c r="J59" i="21" s="1"/>
  <c r="I60" i="21"/>
  <c r="J60" i="21" s="1"/>
  <c r="I61" i="21"/>
  <c r="J61" i="21" s="1"/>
  <c r="I9" i="21"/>
  <c r="J9" i="21" s="1"/>
  <c r="D62" i="21" l="1"/>
  <c r="C62" i="21"/>
  <c r="H48" i="18"/>
  <c r="H37" i="18"/>
  <c r="H5" i="21" s="1"/>
  <c r="H44" i="18"/>
  <c r="D4" i="20" s="1"/>
  <c r="E5" i="21" l="1"/>
  <c r="D23" i="18"/>
  <c r="C131" i="22"/>
  <c r="C143" i="22"/>
  <c r="C136" i="22"/>
  <c r="V62" i="21" l="1"/>
  <c r="C129" i="22" l="1"/>
  <c r="E8" i="20" l="1"/>
  <c r="D81" i="20" l="1"/>
  <c r="F100" i="20" l="1"/>
  <c r="D90" i="20" l="1"/>
  <c r="D83" i="20" l="1"/>
  <c r="E44" i="18" l="1"/>
  <c r="D84" i="20" l="1"/>
  <c r="D85" i="20"/>
  <c r="D86" i="20"/>
  <c r="D88" i="20"/>
  <c r="D91" i="20"/>
  <c r="D92" i="20"/>
  <c r="D93" i="20"/>
  <c r="D95" i="20"/>
  <c r="D96" i="20"/>
  <c r="D97" i="20"/>
  <c r="D98" i="20"/>
  <c r="D99" i="20"/>
  <c r="D82" i="20"/>
  <c r="D77" i="20"/>
  <c r="D78" i="20"/>
  <c r="D79" i="20"/>
  <c r="D75" i="20"/>
  <c r="D74" i="20"/>
  <c r="D44" i="18" l="1"/>
  <c r="J44" i="18" s="1"/>
  <c r="D37" i="18" l="1"/>
  <c r="F108" i="22" l="1"/>
  <c r="F44" i="18" l="1"/>
  <c r="F37" i="18"/>
  <c r="E62" i="21" l="1"/>
  <c r="F25" i="21" s="1"/>
  <c r="F30" i="21" l="1"/>
  <c r="F24" i="21"/>
  <c r="F34" i="21"/>
  <c r="F27" i="21"/>
  <c r="E7" i="20"/>
  <c r="D5" i="20" l="1"/>
  <c r="J62" i="21" l="1"/>
  <c r="K25" i="21" s="1"/>
  <c r="J71" i="21"/>
  <c r="J70" i="21"/>
  <c r="J69" i="21"/>
  <c r="C89" i="22"/>
  <c r="P25" i="21" l="1"/>
  <c r="K30" i="21"/>
  <c r="K24" i="21"/>
  <c r="K17" i="21"/>
  <c r="K27" i="21"/>
  <c r="D14" i="20" s="1"/>
  <c r="K21" i="21"/>
  <c r="K48" i="21"/>
  <c r="J72" i="21"/>
  <c r="K69" i="21" s="1"/>
  <c r="K32" i="21"/>
  <c r="K33" i="21"/>
  <c r="K45" i="21"/>
  <c r="K31" i="21"/>
  <c r="K55" i="21"/>
  <c r="K23" i="21"/>
  <c r="K51" i="21"/>
  <c r="K56" i="21"/>
  <c r="K43" i="21"/>
  <c r="K59" i="21"/>
  <c r="K26" i="21"/>
  <c r="K57" i="21"/>
  <c r="K15" i="21"/>
  <c r="K44" i="21"/>
  <c r="K61" i="21"/>
  <c r="K39" i="21"/>
  <c r="K42" i="21"/>
  <c r="K40" i="21"/>
  <c r="K53" i="21"/>
  <c r="K49" i="21"/>
  <c r="K50" i="21"/>
  <c r="K10" i="21"/>
  <c r="K52" i="21"/>
  <c r="K18" i="21"/>
  <c r="K11" i="21"/>
  <c r="K54" i="21"/>
  <c r="K58" i="21"/>
  <c r="K60" i="21"/>
  <c r="K46" i="21"/>
  <c r="K13" i="21"/>
  <c r="K34" i="21"/>
  <c r="K47" i="21"/>
  <c r="K36" i="21"/>
  <c r="K41" i="21"/>
  <c r="K28" i="21"/>
  <c r="K19" i="21"/>
  <c r="K12" i="21"/>
  <c r="K35" i="21"/>
  <c r="K14" i="21"/>
  <c r="K16" i="21"/>
  <c r="K38" i="21"/>
  <c r="K29" i="21"/>
  <c r="K20" i="21"/>
  <c r="K37" i="21"/>
  <c r="K22" i="21"/>
  <c r="K9" i="21"/>
  <c r="D100" i="20"/>
  <c r="P30" i="21" l="1"/>
  <c r="P24" i="21"/>
  <c r="I14" i="20"/>
  <c r="K70" i="21"/>
  <c r="N22" i="21" s="1"/>
  <c r="G39" i="20" s="1"/>
  <c r="K71" i="21"/>
  <c r="N53" i="21" s="1"/>
  <c r="G28" i="20" s="1"/>
  <c r="P27" i="21"/>
  <c r="N31" i="21"/>
  <c r="N28" i="19"/>
  <c r="K72" i="21" l="1"/>
  <c r="N62" i="21"/>
  <c r="G20" i="20"/>
  <c r="G67" i="20" s="1"/>
  <c r="C86" i="22"/>
  <c r="M28" i="19"/>
  <c r="O8" i="19"/>
  <c r="C20" i="22"/>
  <c r="C28" i="22" s="1"/>
  <c r="C29" i="22"/>
  <c r="C38" i="22"/>
  <c r="C39" i="22"/>
  <c r="C44" i="22"/>
  <c r="C75" i="22"/>
  <c r="X62" i="21"/>
  <c r="W62" i="21"/>
  <c r="U62" i="21"/>
  <c r="T62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62" i="21"/>
  <c r="H25" i="21" s="1"/>
  <c r="H30" i="21" l="1"/>
  <c r="H24" i="21"/>
  <c r="H34" i="21"/>
  <c r="H27" i="21"/>
  <c r="D62" i="20"/>
  <c r="H10" i="21"/>
  <c r="H14" i="21"/>
  <c r="H18" i="21"/>
  <c r="H22" i="21"/>
  <c r="H28" i="21"/>
  <c r="H33" i="21"/>
  <c r="H38" i="21"/>
  <c r="H42" i="21"/>
  <c r="H46" i="21"/>
  <c r="H50" i="21"/>
  <c r="H54" i="21"/>
  <c r="H58" i="21"/>
  <c r="H9" i="21"/>
  <c r="H15" i="21"/>
  <c r="H29" i="21"/>
  <c r="H39" i="21"/>
  <c r="H51" i="21"/>
  <c r="H59" i="21"/>
  <c r="H16" i="21"/>
  <c r="H31" i="21"/>
  <c r="H40" i="21"/>
  <c r="H48" i="21"/>
  <c r="H56" i="21"/>
  <c r="H13" i="21"/>
  <c r="H17" i="21"/>
  <c r="H21" i="21"/>
  <c r="H26" i="21"/>
  <c r="H32" i="21"/>
  <c r="H37" i="21"/>
  <c r="H41" i="21"/>
  <c r="H45" i="21"/>
  <c r="H49" i="21"/>
  <c r="H53" i="21"/>
  <c r="H57" i="21"/>
  <c r="H61" i="21"/>
  <c r="H11" i="21"/>
  <c r="H19" i="21"/>
  <c r="H23" i="21"/>
  <c r="H35" i="21"/>
  <c r="H43" i="21"/>
  <c r="H47" i="21"/>
  <c r="H55" i="21"/>
  <c r="H12" i="21"/>
  <c r="H20" i="21"/>
  <c r="H36" i="21"/>
  <c r="H44" i="21"/>
  <c r="H52" i="21"/>
  <c r="H60" i="21"/>
  <c r="F12" i="21"/>
  <c r="F16" i="21"/>
  <c r="F20" i="21"/>
  <c r="F31" i="21"/>
  <c r="F36" i="21"/>
  <c r="F40" i="21"/>
  <c r="F44" i="21"/>
  <c r="F48" i="21"/>
  <c r="F52" i="21"/>
  <c r="F56" i="21"/>
  <c r="F60" i="21"/>
  <c r="F15" i="21"/>
  <c r="F29" i="21"/>
  <c r="F43" i="21"/>
  <c r="F55" i="21"/>
  <c r="F13" i="21"/>
  <c r="F17" i="21"/>
  <c r="F21" i="21"/>
  <c r="F26" i="21"/>
  <c r="F32" i="21"/>
  <c r="F37" i="21"/>
  <c r="F41" i="21"/>
  <c r="F45" i="21"/>
  <c r="F49" i="21"/>
  <c r="F53" i="21"/>
  <c r="F57" i="21"/>
  <c r="F61" i="21"/>
  <c r="F19" i="21"/>
  <c r="F35" i="21"/>
  <c r="F47" i="21"/>
  <c r="F59" i="21"/>
  <c r="F10" i="21"/>
  <c r="F14" i="21"/>
  <c r="F18" i="21"/>
  <c r="F22" i="21"/>
  <c r="F28" i="21"/>
  <c r="F33" i="21"/>
  <c r="F38" i="21"/>
  <c r="F42" i="21"/>
  <c r="F46" i="21"/>
  <c r="F50" i="21"/>
  <c r="F54" i="21"/>
  <c r="F58" i="21"/>
  <c r="F9" i="21"/>
  <c r="F11" i="21"/>
  <c r="F23" i="21"/>
  <c r="F39" i="21"/>
  <c r="F51" i="21"/>
  <c r="D38" i="20"/>
  <c r="I38" i="20" s="1"/>
  <c r="D30" i="20"/>
  <c r="I30" i="20" s="1"/>
  <c r="D61" i="20"/>
  <c r="D32" i="20"/>
  <c r="I32" i="20" s="1"/>
  <c r="D40" i="20"/>
  <c r="I40" i="20" s="1"/>
  <c r="D57" i="20"/>
  <c r="I57" i="20" s="1"/>
  <c r="D23" i="20"/>
  <c r="I23" i="20" s="1"/>
  <c r="D33" i="20"/>
  <c r="I33" i="20" s="1"/>
  <c r="D11" i="20"/>
  <c r="D36" i="20"/>
  <c r="I36" i="20" s="1"/>
  <c r="D25" i="20"/>
  <c r="I25" i="20" s="1"/>
  <c r="D15" i="20"/>
  <c r="I15" i="20" s="1"/>
  <c r="D60" i="20"/>
  <c r="I60" i="20" s="1"/>
  <c r="D18" i="20"/>
  <c r="I18" i="20" s="1"/>
  <c r="D48" i="20"/>
  <c r="I48" i="20" s="1"/>
  <c r="D50" i="20"/>
  <c r="I50" i="20" s="1"/>
  <c r="D53" i="20"/>
  <c r="I53" i="20" s="1"/>
  <c r="D46" i="20"/>
  <c r="I46" i="20" s="1"/>
  <c r="D52" i="20"/>
  <c r="I52" i="20" s="1"/>
  <c r="D24" i="20"/>
  <c r="I24" i="20" s="1"/>
  <c r="D42" i="20"/>
  <c r="I42" i="20" s="1"/>
  <c r="D56" i="20"/>
  <c r="I56" i="20" s="1"/>
  <c r="D34" i="20"/>
  <c r="I34" i="20" s="1"/>
  <c r="D21" i="20"/>
  <c r="I21" i="20" s="1"/>
  <c r="D29" i="20"/>
  <c r="I29" i="20" s="1"/>
  <c r="D19" i="20"/>
  <c r="I19" i="20" s="1"/>
  <c r="D54" i="20"/>
  <c r="I54" i="20" s="1"/>
  <c r="D49" i="20"/>
  <c r="I49" i="20" s="1"/>
  <c r="D51" i="20"/>
  <c r="I51" i="20" s="1"/>
  <c r="D22" i="20"/>
  <c r="I22" i="20" s="1"/>
  <c r="D39" i="20"/>
  <c r="I39" i="20" s="1"/>
  <c r="D59" i="20"/>
  <c r="I59" i="20" s="1"/>
  <c r="D44" i="20"/>
  <c r="I44" i="20" s="1"/>
  <c r="D13" i="20"/>
  <c r="I13" i="20" s="1"/>
  <c r="D12" i="20"/>
  <c r="I12" i="20" s="1"/>
  <c r="D16" i="20"/>
  <c r="I16" i="20" s="1"/>
  <c r="D27" i="20"/>
  <c r="I27" i="20" s="1"/>
  <c r="D17" i="20"/>
  <c r="I17" i="20" s="1"/>
  <c r="D28" i="20"/>
  <c r="I28" i="20" s="1"/>
  <c r="D35" i="20"/>
  <c r="I35" i="20" s="1"/>
  <c r="D31" i="20"/>
  <c r="I31" i="20" s="1"/>
  <c r="D55" i="20"/>
  <c r="I55" i="20" s="1"/>
  <c r="D45" i="20"/>
  <c r="I45" i="20" s="1"/>
  <c r="D41" i="20"/>
  <c r="I41" i="20" s="1"/>
  <c r="D58" i="20"/>
  <c r="I58" i="20" s="1"/>
  <c r="D20" i="20"/>
  <c r="I20" i="20" s="1"/>
  <c r="D37" i="20"/>
  <c r="I37" i="20" s="1"/>
  <c r="D47" i="20"/>
  <c r="I47" i="20" s="1"/>
  <c r="D43" i="20"/>
  <c r="I43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G5" i="21"/>
  <c r="I26" i="20"/>
  <c r="C25" i="19"/>
  <c r="J9" i="20"/>
  <c r="E28" i="22"/>
  <c r="C43" i="22"/>
  <c r="L27" i="21" l="1"/>
  <c r="F14" i="20" s="1"/>
  <c r="O25" i="21"/>
  <c r="L24" i="21"/>
  <c r="M24" i="21" s="1"/>
  <c r="O24" i="21" s="1"/>
  <c r="J62" i="20"/>
  <c r="J63" i="20"/>
  <c r="J14" i="20"/>
  <c r="L30" i="21"/>
  <c r="M30" i="21" s="1"/>
  <c r="O30" i="21" s="1"/>
  <c r="R30" i="21" s="1"/>
  <c r="L9" i="21"/>
  <c r="M9" i="21" s="1"/>
  <c r="L33" i="21"/>
  <c r="M33" i="21" s="1"/>
  <c r="L60" i="21"/>
  <c r="M60" i="21" s="1"/>
  <c r="L32" i="21"/>
  <c r="M32" i="21" s="1"/>
  <c r="L14" i="21"/>
  <c r="M14" i="21" s="1"/>
  <c r="L50" i="21"/>
  <c r="M50" i="21" s="1"/>
  <c r="L39" i="21"/>
  <c r="M39" i="21" s="1"/>
  <c r="L35" i="21"/>
  <c r="M35" i="21" s="1"/>
  <c r="L34" i="21"/>
  <c r="M34" i="21" s="1"/>
  <c r="O34" i="21" s="1"/>
  <c r="L18" i="21"/>
  <c r="M18" i="21" s="1"/>
  <c r="L54" i="21"/>
  <c r="M54" i="21" s="1"/>
  <c r="L20" i="21"/>
  <c r="M20" i="21" s="1"/>
  <c r="L13" i="21"/>
  <c r="M13" i="21" s="1"/>
  <c r="L53" i="21"/>
  <c r="M53" i="21" s="1"/>
  <c r="L59" i="21"/>
  <c r="M59" i="21" s="1"/>
  <c r="L26" i="21"/>
  <c r="M26" i="21" s="1"/>
  <c r="L38" i="21"/>
  <c r="M38" i="21" s="1"/>
  <c r="L49" i="21"/>
  <c r="M49" i="21" s="1"/>
  <c r="L21" i="21"/>
  <c r="M21" i="21" s="1"/>
  <c r="L19" i="21"/>
  <c r="M19" i="21" s="1"/>
  <c r="L37" i="21"/>
  <c r="M37" i="21" s="1"/>
  <c r="L31" i="21"/>
  <c r="M31" i="21" s="1"/>
  <c r="L17" i="21"/>
  <c r="M17" i="21" s="1"/>
  <c r="L12" i="21"/>
  <c r="M12" i="21" s="1"/>
  <c r="L15" i="21"/>
  <c r="M15" i="21" s="1"/>
  <c r="L36" i="21"/>
  <c r="M36" i="21" s="1"/>
  <c r="L61" i="21"/>
  <c r="M61" i="21" s="1"/>
  <c r="L41" i="21"/>
  <c r="M41" i="21" s="1"/>
  <c r="L58" i="21"/>
  <c r="M58" i="21" s="1"/>
  <c r="L44" i="21"/>
  <c r="M44" i="21" s="1"/>
  <c r="L56" i="21"/>
  <c r="M56" i="21" s="1"/>
  <c r="L42" i="21"/>
  <c r="M42" i="21" s="1"/>
  <c r="L10" i="21"/>
  <c r="M10" i="21" s="1"/>
  <c r="L47" i="21"/>
  <c r="M47" i="21" s="1"/>
  <c r="L57" i="21"/>
  <c r="M57" i="21" s="1"/>
  <c r="L46" i="21"/>
  <c r="M46" i="21" s="1"/>
  <c r="L16" i="21"/>
  <c r="M16" i="21" s="1"/>
  <c r="L11" i="21"/>
  <c r="M11" i="21" s="1"/>
  <c r="L51" i="21"/>
  <c r="M51" i="21" s="1"/>
  <c r="L22" i="21"/>
  <c r="M22" i="21" s="1"/>
  <c r="L55" i="21"/>
  <c r="M55" i="21" s="1"/>
  <c r="L40" i="21"/>
  <c r="M40" i="21" s="1"/>
  <c r="L43" i="21"/>
  <c r="M43" i="21" s="1"/>
  <c r="L28" i="21"/>
  <c r="M28" i="21" s="1"/>
  <c r="L45" i="21"/>
  <c r="M45" i="21" s="1"/>
  <c r="L48" i="21"/>
  <c r="M48" i="21" s="1"/>
  <c r="L23" i="21"/>
  <c r="M23" i="21" s="1"/>
  <c r="L52" i="21"/>
  <c r="M52" i="21" s="1"/>
  <c r="L29" i="21"/>
  <c r="M29" i="21" s="1"/>
  <c r="P34" i="21"/>
  <c r="P56" i="21"/>
  <c r="P10" i="21"/>
  <c r="J58" i="20"/>
  <c r="P9" i="21"/>
  <c r="P16" i="21"/>
  <c r="F62" i="21"/>
  <c r="P51" i="21"/>
  <c r="P55" i="21"/>
  <c r="P58" i="21"/>
  <c r="P17" i="21"/>
  <c r="P38" i="21"/>
  <c r="P33" i="21"/>
  <c r="P59" i="21"/>
  <c r="P54" i="21"/>
  <c r="P57" i="21"/>
  <c r="P41" i="21"/>
  <c r="P50" i="21"/>
  <c r="P36" i="21"/>
  <c r="P60" i="21"/>
  <c r="P23" i="21"/>
  <c r="P12" i="21"/>
  <c r="P15" i="21"/>
  <c r="P46" i="21"/>
  <c r="P11" i="21"/>
  <c r="P49" i="21"/>
  <c r="P26" i="21"/>
  <c r="P32" i="21"/>
  <c r="P21" i="21"/>
  <c r="P31" i="21"/>
  <c r="P43" i="21"/>
  <c r="P40" i="21"/>
  <c r="P37" i="21"/>
  <c r="P61" i="21"/>
  <c r="P52" i="21"/>
  <c r="P13" i="21"/>
  <c r="P42" i="21"/>
  <c r="P20" i="21"/>
  <c r="P19" i="21"/>
  <c r="P22" i="21"/>
  <c r="P44" i="21"/>
  <c r="P53" i="21"/>
  <c r="P45" i="21"/>
  <c r="P48" i="21"/>
  <c r="P47" i="21"/>
  <c r="P14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D6" i="20"/>
  <c r="H62" i="21"/>
  <c r="P39" i="21"/>
  <c r="P18" i="21"/>
  <c r="P35" i="21"/>
  <c r="P29" i="21"/>
  <c r="P28" i="21"/>
  <c r="K62" i="21"/>
  <c r="J19" i="20"/>
  <c r="J15" i="20"/>
  <c r="J17" i="20"/>
  <c r="J48" i="20"/>
  <c r="J21" i="20"/>
  <c r="J33" i="20"/>
  <c r="J18" i="20"/>
  <c r="J43" i="20"/>
  <c r="J22" i="20"/>
  <c r="J59" i="20"/>
  <c r="J60" i="20"/>
  <c r="J46" i="20"/>
  <c r="J57" i="20"/>
  <c r="J20" i="20"/>
  <c r="J35" i="20"/>
  <c r="J45" i="20"/>
  <c r="J37" i="20"/>
  <c r="J11" i="20"/>
  <c r="J41" i="20"/>
  <c r="J30" i="20"/>
  <c r="J42" i="20"/>
  <c r="J56" i="20"/>
  <c r="J47" i="20"/>
  <c r="J25" i="20"/>
  <c r="J55" i="20"/>
  <c r="J32" i="20"/>
  <c r="J31" i="20"/>
  <c r="J50" i="20"/>
  <c r="J51" i="20"/>
  <c r="J34" i="20"/>
  <c r="J40" i="20"/>
  <c r="J54" i="20"/>
  <c r="J39" i="20"/>
  <c r="J26" i="20"/>
  <c r="J24" i="20"/>
  <c r="J16" i="20"/>
  <c r="J49" i="20"/>
  <c r="J38" i="20"/>
  <c r="J44" i="20"/>
  <c r="J36" i="20"/>
  <c r="J61" i="20"/>
  <c r="J27" i="20"/>
  <c r="J53" i="20"/>
  <c r="J13" i="20"/>
  <c r="J28" i="20"/>
  <c r="J52" i="20"/>
  <c r="J23" i="20"/>
  <c r="J12" i="20"/>
  <c r="J29" i="20"/>
  <c r="C54" i="22"/>
  <c r="E43" i="22"/>
  <c r="O27" i="21" l="1"/>
  <c r="R27" i="21" s="1"/>
  <c r="Q24" i="21"/>
  <c r="R24" i="21"/>
  <c r="Q25" i="21"/>
  <c r="R34" i="21"/>
  <c r="Q34" i="21"/>
  <c r="K9" i="20"/>
  <c r="E14" i="20"/>
  <c r="E13" i="20"/>
  <c r="F13" i="20" s="1"/>
  <c r="E63" i="20"/>
  <c r="E19" i="20"/>
  <c r="F19" i="20" s="1"/>
  <c r="E62" i="20"/>
  <c r="O45" i="21"/>
  <c r="O48" i="21"/>
  <c r="R48" i="21" s="1"/>
  <c r="O47" i="21"/>
  <c r="O57" i="21"/>
  <c r="R57" i="21" s="1"/>
  <c r="O9" i="21"/>
  <c r="O23" i="21"/>
  <c r="R23" i="21" s="1"/>
  <c r="O28" i="21"/>
  <c r="O33" i="21"/>
  <c r="R33" i="21" s="1"/>
  <c r="O58" i="21"/>
  <c r="O42" i="21"/>
  <c r="Q42" i="21" s="1"/>
  <c r="O14" i="21"/>
  <c r="O41" i="21"/>
  <c r="R41" i="21" s="1"/>
  <c r="O55" i="21"/>
  <c r="O10" i="21"/>
  <c r="Q10" i="21" s="1"/>
  <c r="O61" i="21"/>
  <c r="O39" i="21"/>
  <c r="O29" i="21"/>
  <c r="O31" i="21"/>
  <c r="Q31" i="21" s="1"/>
  <c r="O16" i="21"/>
  <c r="O37" i="21"/>
  <c r="R37" i="21" s="1"/>
  <c r="O52" i="21"/>
  <c r="O12" i="21"/>
  <c r="R12" i="21" s="1"/>
  <c r="O36" i="21"/>
  <c r="O54" i="21"/>
  <c r="O60" i="21"/>
  <c r="O15" i="21"/>
  <c r="R15" i="21" s="1"/>
  <c r="O11" i="21"/>
  <c r="O40" i="21"/>
  <c r="O17" i="21"/>
  <c r="Q17" i="21" s="1"/>
  <c r="O26" i="21"/>
  <c r="O56" i="21"/>
  <c r="R56" i="21" s="1"/>
  <c r="O50" i="21"/>
  <c r="O22" i="21"/>
  <c r="O53" i="21"/>
  <c r="O19" i="21"/>
  <c r="O44" i="21"/>
  <c r="O21" i="21"/>
  <c r="Q21" i="21" s="1"/>
  <c r="O38" i="21"/>
  <c r="O18" i="21"/>
  <c r="O43" i="21"/>
  <c r="O49" i="21"/>
  <c r="Q49" i="21" s="1"/>
  <c r="O13" i="21"/>
  <c r="O20" i="21"/>
  <c r="O32" i="21"/>
  <c r="O35" i="21"/>
  <c r="R35" i="21" s="1"/>
  <c r="O59" i="21"/>
  <c r="O51" i="21"/>
  <c r="Q51" i="21" s="1"/>
  <c r="O46" i="21"/>
  <c r="E23" i="20"/>
  <c r="F23" i="20" s="1"/>
  <c r="E25" i="20"/>
  <c r="F25" i="20" s="1"/>
  <c r="E50" i="20"/>
  <c r="F50" i="20" s="1"/>
  <c r="E60" i="20"/>
  <c r="F60" i="20" s="1"/>
  <c r="E22" i="20"/>
  <c r="F22" i="20" s="1"/>
  <c r="L62" i="21"/>
  <c r="E51" i="20"/>
  <c r="F51" i="20" s="1"/>
  <c r="E56" i="20"/>
  <c r="F56" i="20" s="1"/>
  <c r="E43" i="20"/>
  <c r="F43" i="20" s="1"/>
  <c r="E38" i="20"/>
  <c r="F38" i="20" s="1"/>
  <c r="E11" i="20"/>
  <c r="F11" i="20" s="1"/>
  <c r="E37" i="20"/>
  <c r="F37" i="20" s="1"/>
  <c r="E44" i="20"/>
  <c r="F44" i="20" s="1"/>
  <c r="P62" i="21"/>
  <c r="E33" i="20"/>
  <c r="F33" i="20" s="1"/>
  <c r="E57" i="20"/>
  <c r="F57" i="20" s="1"/>
  <c r="E45" i="20"/>
  <c r="F45" i="20" s="1"/>
  <c r="E26" i="20"/>
  <c r="F26" i="20" s="1"/>
  <c r="E42" i="20"/>
  <c r="F42" i="20" s="1"/>
  <c r="E21" i="20"/>
  <c r="F21" i="20" s="1"/>
  <c r="E52" i="20"/>
  <c r="F52" i="20" s="1"/>
  <c r="E39" i="20"/>
  <c r="F39" i="20" s="1"/>
  <c r="E46" i="20"/>
  <c r="F46" i="20" s="1"/>
  <c r="E17" i="20"/>
  <c r="F17" i="20" s="1"/>
  <c r="E58" i="20"/>
  <c r="F58" i="20" s="1"/>
  <c r="E16" i="20"/>
  <c r="F16" i="20" s="1"/>
  <c r="E32" i="20"/>
  <c r="F32" i="20" s="1"/>
  <c r="E15" i="20"/>
  <c r="F15" i="20" s="1"/>
  <c r="E24" i="20"/>
  <c r="F24" i="20" s="1"/>
  <c r="E31" i="20"/>
  <c r="F31" i="20" s="1"/>
  <c r="E30" i="20"/>
  <c r="F30" i="20" s="1"/>
  <c r="E54" i="20"/>
  <c r="F54" i="20" s="1"/>
  <c r="E53" i="20"/>
  <c r="F53" i="20" s="1"/>
  <c r="E35" i="20"/>
  <c r="F35" i="20" s="1"/>
  <c r="E27" i="20"/>
  <c r="F27" i="20" s="1"/>
  <c r="E40" i="20"/>
  <c r="F40" i="20" s="1"/>
  <c r="E29" i="20"/>
  <c r="F29" i="20" s="1"/>
  <c r="E48" i="20"/>
  <c r="F48" i="20" s="1"/>
  <c r="E47" i="20"/>
  <c r="F47" i="20" s="1"/>
  <c r="E41" i="20"/>
  <c r="F41" i="20" s="1"/>
  <c r="E12" i="20"/>
  <c r="F12" i="20" s="1"/>
  <c r="E34" i="20"/>
  <c r="F34" i="20" s="1"/>
  <c r="E59" i="20"/>
  <c r="F59" i="20" s="1"/>
  <c r="E18" i="20"/>
  <c r="F18" i="20" s="1"/>
  <c r="E55" i="20"/>
  <c r="F55" i="20" s="1"/>
  <c r="E61" i="20"/>
  <c r="F61" i="20" s="1"/>
  <c r="E36" i="20"/>
  <c r="F36" i="20" s="1"/>
  <c r="E49" i="20"/>
  <c r="F49" i="20" s="1"/>
  <c r="E20" i="20"/>
  <c r="F20" i="20" s="1"/>
  <c r="E28" i="20"/>
  <c r="F28" i="20" s="1"/>
  <c r="I11" i="20"/>
  <c r="I67" i="20" s="1"/>
  <c r="D67" i="20"/>
  <c r="J67" i="20"/>
  <c r="C60" i="22"/>
  <c r="E60" i="22" s="1"/>
  <c r="C69" i="22" s="1"/>
  <c r="E69" i="22" s="1"/>
  <c r="C76" i="22" s="1"/>
  <c r="E54" i="22"/>
  <c r="F63" i="20" l="1"/>
  <c r="H63" i="20" s="1"/>
  <c r="K63" i="20" s="1"/>
  <c r="H14" i="20"/>
  <c r="K14" i="20" s="1"/>
  <c r="H19" i="20"/>
  <c r="K19" i="20" s="1"/>
  <c r="F62" i="20"/>
  <c r="H62" i="20" s="1"/>
  <c r="K62" i="20" s="1"/>
  <c r="Q22" i="21"/>
  <c r="R22" i="21"/>
  <c r="R47" i="21"/>
  <c r="Q47" i="21"/>
  <c r="Q28" i="21"/>
  <c r="R28" i="21"/>
  <c r="R9" i="21"/>
  <c r="Q9" i="21"/>
  <c r="R14" i="21"/>
  <c r="Q14" i="21"/>
  <c r="R58" i="21"/>
  <c r="Q58" i="21"/>
  <c r="R45" i="21"/>
  <c r="Q45" i="21"/>
  <c r="H28" i="20"/>
  <c r="H61" i="20"/>
  <c r="H34" i="20"/>
  <c r="H48" i="20"/>
  <c r="H27" i="20"/>
  <c r="H30" i="20"/>
  <c r="H32" i="20"/>
  <c r="H46" i="20"/>
  <c r="H21" i="20"/>
  <c r="H57" i="20"/>
  <c r="H37" i="20"/>
  <c r="H56" i="20"/>
  <c r="H60" i="20"/>
  <c r="H23" i="20"/>
  <c r="H20" i="20"/>
  <c r="H55" i="20"/>
  <c r="H12" i="20"/>
  <c r="H29" i="20"/>
  <c r="H35" i="20"/>
  <c r="H31" i="20"/>
  <c r="H16" i="20"/>
  <c r="H39" i="20"/>
  <c r="H42" i="20"/>
  <c r="H33" i="20"/>
  <c r="H11" i="20"/>
  <c r="H51" i="20"/>
  <c r="H50" i="20"/>
  <c r="H49" i="20"/>
  <c r="H18" i="20"/>
  <c r="H41" i="20"/>
  <c r="H13" i="20"/>
  <c r="H53" i="20"/>
  <c r="H24" i="20"/>
  <c r="H58" i="20"/>
  <c r="H26" i="20"/>
  <c r="K26" i="20" s="1"/>
  <c r="H38" i="20"/>
  <c r="H36" i="20"/>
  <c r="H59" i="20"/>
  <c r="H47" i="20"/>
  <c r="H40" i="20"/>
  <c r="H54" i="20"/>
  <c r="H15" i="20"/>
  <c r="H17" i="20"/>
  <c r="H52" i="20"/>
  <c r="H45" i="20"/>
  <c r="H44" i="20"/>
  <c r="H43" i="20"/>
  <c r="H22" i="20"/>
  <c r="H25" i="20"/>
  <c r="Q23" i="21"/>
  <c r="R39" i="21"/>
  <c r="Q39" i="21"/>
  <c r="Q11" i="21"/>
  <c r="R11" i="21"/>
  <c r="R18" i="21"/>
  <c r="Q18" i="21"/>
  <c r="R54" i="21"/>
  <c r="Q54" i="21"/>
  <c r="Q20" i="21"/>
  <c r="R20" i="21"/>
  <c r="Q61" i="21"/>
  <c r="R61" i="21"/>
  <c r="Q19" i="21"/>
  <c r="R19" i="21"/>
  <c r="M62" i="21"/>
  <c r="G6" i="21" s="1"/>
  <c r="R17" i="21"/>
  <c r="Q48" i="21"/>
  <c r="Q41" i="21"/>
  <c r="Q46" i="21"/>
  <c r="R46" i="21"/>
  <c r="R60" i="21"/>
  <c r="Q60" i="21"/>
  <c r="Q53" i="21"/>
  <c r="R53" i="21"/>
  <c r="R16" i="21"/>
  <c r="Q16" i="21"/>
  <c r="O62" i="21"/>
  <c r="R62" i="21" s="1"/>
  <c r="Q43" i="21"/>
  <c r="R43" i="21"/>
  <c r="Q13" i="21"/>
  <c r="R13" i="21"/>
  <c r="R32" i="21"/>
  <c r="Q32" i="21"/>
  <c r="R44" i="21"/>
  <c r="Q44" i="21"/>
  <c r="R40" i="21"/>
  <c r="Q40" i="21"/>
  <c r="R52" i="21"/>
  <c r="Q52" i="21"/>
  <c r="Q50" i="21"/>
  <c r="R50" i="21"/>
  <c r="R29" i="21"/>
  <c r="Q29" i="21"/>
  <c r="R59" i="21"/>
  <c r="Q59" i="21"/>
  <c r="R38" i="21"/>
  <c r="Q38" i="21"/>
  <c r="R26" i="21"/>
  <c r="Q26" i="21"/>
  <c r="R36" i="21"/>
  <c r="Q36" i="21"/>
  <c r="Q55" i="21"/>
  <c r="R55" i="21"/>
  <c r="R51" i="21"/>
  <c r="Q57" i="21"/>
  <c r="Q15" i="21"/>
  <c r="Q56" i="21"/>
  <c r="R49" i="21"/>
  <c r="Q12" i="21"/>
  <c r="Q33" i="21"/>
  <c r="R42" i="21"/>
  <c r="Q37" i="21"/>
  <c r="R21" i="21"/>
  <c r="R31" i="21"/>
  <c r="Q35" i="21"/>
  <c r="R10" i="21"/>
  <c r="E67" i="20"/>
  <c r="C82" i="22"/>
  <c r="E76" i="22"/>
  <c r="F67" i="20" l="1"/>
  <c r="H65" i="20"/>
  <c r="H67" i="20" s="1"/>
  <c r="K25" i="20"/>
  <c r="K43" i="20"/>
  <c r="K45" i="20"/>
  <c r="K17" i="20"/>
  <c r="K54" i="20"/>
  <c r="K47" i="20"/>
  <c r="K36" i="20"/>
  <c r="K58" i="20"/>
  <c r="K53" i="20"/>
  <c r="K41" i="20"/>
  <c r="K49" i="20"/>
  <c r="K51" i="20"/>
  <c r="K33" i="20"/>
  <c r="K39" i="20"/>
  <c r="K31" i="20"/>
  <c r="K29" i="20"/>
  <c r="K55" i="20"/>
  <c r="K23" i="20"/>
  <c r="K56" i="20"/>
  <c r="K57" i="20"/>
  <c r="K46" i="20"/>
  <c r="K30" i="20"/>
  <c r="K48" i="20"/>
  <c r="K61" i="20"/>
  <c r="K22" i="20"/>
  <c r="K44" i="20"/>
  <c r="K52" i="20"/>
  <c r="K15" i="20"/>
  <c r="K40" i="20"/>
  <c r="K59" i="20"/>
  <c r="K38" i="20"/>
  <c r="K24" i="20"/>
  <c r="K13" i="20"/>
  <c r="K18" i="20"/>
  <c r="K50" i="20"/>
  <c r="K11" i="20"/>
  <c r="K42" i="20"/>
  <c r="K16" i="20"/>
  <c r="K35" i="20"/>
  <c r="K12" i="20"/>
  <c r="K20" i="20"/>
  <c r="K60" i="20"/>
  <c r="K37" i="20"/>
  <c r="K21" i="20"/>
  <c r="K32" i="20"/>
  <c r="K27" i="20"/>
  <c r="K34" i="20"/>
  <c r="K28" i="20"/>
  <c r="Q62" i="21"/>
  <c r="E82" i="22"/>
  <c r="K67" i="20" l="1"/>
  <c r="C91" i="22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E126" i="22" l="1"/>
  <c r="C133" i="22"/>
  <c r="C140" i="22" l="1"/>
  <c r="E133" i="22"/>
  <c r="E140" i="22" l="1"/>
  <c r="C147" i="22"/>
  <c r="F48" i="18" s="1"/>
  <c r="E147" i="22" l="1"/>
  <c r="D4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D16" authorId="0" shapeId="0" xr:uid="{E98EA83C-FA5A-48B6-899C-E5E336EBC41F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5% increase</t>
        </r>
      </text>
    </comment>
    <comment ref="D19" authorId="0" shapeId="0" xr:uid="{5D977F48-0EAA-46E8-82C1-60CDAFE663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25% of BiblioCore cost</t>
        </r>
      </text>
    </comment>
    <comment ref="H19" authorId="0" shapeId="0" xr:uid="{C12AB360-EB30-459B-BFE1-DA05CAB9A029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25% of BiblioCore cost</t>
        </r>
      </text>
    </comment>
    <comment ref="H26" authorId="0" shapeId="0" xr:uid="{96642CDF-2FD8-4862-B659-6ED22EEC43C3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May have to factor in costs for load table, possibly ASAA training from III</t>
        </r>
      </text>
    </comment>
    <comment ref="D33" authorId="0" shapeId="0" xr:uid="{CFA9DEB8-1AB0-480A-BE31-25680CE02B62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  <comment ref="H33" authorId="0" shapeId="0" xr:uid="{C91329B5-E79C-477D-B776-7BF6BA8CAF33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Based on 2024 WPLC Draft Budget, 5-2-2023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  <author>roholt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  <comment ref="C130" authorId="0" shapeId="0" xr:uid="{FC5AFCED-E436-41DC-8181-9EFE01380A95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$13,500 Fairchild
$27,000 Durand
-  1,000 Est Fairchild 1/2 Year Maint (re start 7/1)</t>
        </r>
      </text>
    </comment>
    <comment ref="C137" authorId="1" shapeId="0" xr:uid="{76790D22-C27C-48CC-AD30-687CF6458F02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Cornell Startup (less 1/2 year maintenance)</t>
        </r>
      </text>
    </comment>
    <comment ref="C138" authorId="1" shapeId="0" xr:uid="{DB2EA43D-6261-4018-95CD-81DE344B3109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[underspent from 2022]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5" authorId="0" shapeId="0" xr:uid="{887D44E7-C4A7-464D-BD1D-45DC5862A8E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Switched from Express Lane to SIP2 in Feb. 2022. Paying for 1 license, 2nd SIP2 license was part of 2021 year-end III BOGO deal when adding a license for CF.</t>
        </r>
      </text>
    </comment>
    <comment ref="C79" authorId="0" shapeId="0" xr:uid="{0B721590-B566-4688-BEC3-2C7D07774498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CF added a 2nd self-check in November 2021. Charge for maintenance on 2 licenses beginning with 2023 budget</t>
        </r>
      </text>
    </comment>
    <comment ref="C8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switching from 6 to 8 SIP2 licenses beginning 2023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  <author>roholt</author>
  </authors>
  <commentList>
    <comment ref="M3" authorId="0" shapeId="0" xr:uid="{6B19725B-AD8B-4106-8334-DFD99C3128D2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see below for calculation</t>
        </r>
      </text>
    </comment>
    <comment ref="B25" authorId="1" shapeId="0" xr:uid="{C9002B4C-3B09-49DA-9C71-E79986CA75EE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MORE start date: 7-1-2023; to be charged for 1/2 of 2024 MORE costs. See Fairchild and CVTC for prior examples of showing that 1/2 year charge in this document
Used annual report figures for 2020-2022 items + circ</t>
        </r>
      </text>
    </comment>
    <comment ref="L25" authorId="1" shapeId="0" xr:uid="{F50C22B3-741B-452C-93BA-F8FA4438014E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2024: half of full-year cost to be billed to library</t>
        </r>
      </text>
    </comment>
    <comment ref="B27" authorId="1" shapeId="0" xr:uid="{5590DCE8-8C6C-4F25-9C78-3470CD0F719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"2021" counts are actually May 2020 item counts and 2019 circ.</t>
        </r>
      </text>
    </comment>
    <comment ref="B30" authorId="1" shapeId="0" xr:uid="{B8C1B241-174A-429B-978C-16AF0C14BB61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2021 figures from library's annual report</t>
        </r>
      </text>
    </comment>
  </commentList>
</comments>
</file>

<file path=xl/sharedStrings.xml><?xml version="1.0" encoding="utf-8"?>
<sst xmlns="http://schemas.openxmlformats.org/spreadsheetml/2006/main" count="529" uniqueCount="413">
  <si>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</si>
  <si>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</si>
  <si>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</si>
  <si>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</si>
  <si>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</si>
  <si>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</si>
  <si>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</si>
  <si>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</si>
  <si>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</si>
  <si>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</si>
  <si>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</si>
  <si>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</si>
  <si>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</si>
  <si>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</si>
  <si>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</si>
  <si>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</si>
  <si>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</si>
  <si>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</si>
  <si>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</si>
  <si>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</si>
  <si>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</si>
  <si>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</si>
  <si>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</si>
  <si>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</si>
  <si>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</si>
  <si>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</si>
  <si>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</si>
  <si>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</si>
  <si>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</si>
  <si>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</si>
  <si>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</si>
  <si>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</si>
  <si>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</si>
  <si>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</si>
  <si>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</si>
  <si>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</si>
  <si>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</si>
  <si>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</si>
  <si>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</si>
  <si>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</si>
  <si>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</si>
  <si>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</si>
  <si>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</si>
  <si>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</si>
  <si>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</si>
  <si>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</si>
  <si>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</si>
  <si>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</si>
  <si>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</si>
  <si>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</si>
  <si>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</si>
  <si>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</si>
  <si>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</si>
  <si>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</si>
  <si>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</si>
  <si>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</si>
  <si>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</si>
  <si>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</si>
  <si>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</si>
  <si>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</si>
  <si>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</si>
  <si>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</si>
  <si>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</si>
  <si>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</si>
  <si>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</si>
  <si>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</si>
  <si>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</si>
  <si>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</si>
  <si>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</si>
  <si>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</si>
  <si>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</si>
  <si>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</si>
  <si>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</si>
  <si>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</si>
  <si>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</si>
  <si>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</si>
  <si>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</si>
  <si>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</si>
  <si>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</si>
  <si>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</si>
  <si>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</si>
  <si>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</si>
  <si>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</si>
  <si>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</si>
  <si>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</si>
  <si>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</si>
  <si>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</si>
  <si>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</si>
  <si>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</si>
  <si>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</si>
  <si>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</si>
  <si>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</si>
  <si>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</si>
  <si>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</si>
  <si>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</si>
  <si>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</si>
  <si>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</si>
  <si>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</si>
  <si>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</si>
  <si>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</si>
  <si>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</si>
  <si>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</si>
  <si>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</si>
  <si>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</si>
  <si>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</si>
  <si>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</si>
  <si>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</si>
  <si>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</si>
  <si>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</si>
  <si>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</si>
  <si>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</si>
  <si>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</si>
  <si>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</si>
  <si>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</si>
  <si>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</si>
  <si>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</si>
  <si>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</si>
  <si>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</si>
  <si>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</si>
  <si>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</si>
  <si>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</si>
  <si>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</si>
  <si>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</si>
  <si>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</si>
  <si>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</si>
  <si>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</si>
  <si>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</si>
  <si>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</si>
  <si>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</si>
  <si>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</si>
  <si>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</si>
  <si>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</si>
  <si>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</si>
  <si>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</si>
  <si>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</si>
  <si>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</si>
  <si>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</si>
  <si>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</si>
  <si>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</si>
  <si>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</si>
  <si>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</si>
  <si>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</si>
  <si>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</si>
  <si>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</si>
  <si>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</si>
  <si>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</si>
  <si>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</si>
  <si>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</si>
  <si>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</si>
  <si>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</si>
  <si>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</si>
  <si>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</si>
  <si>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</si>
  <si>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</si>
  <si>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</si>
  <si>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</si>
  <si>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</si>
  <si>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</si>
  <si>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</si>
  <si>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</si>
  <si>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</si>
  <si>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</si>
  <si>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</si>
  <si>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</si>
  <si>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</si>
  <si>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</si>
  <si>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</si>
  <si>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</si>
  <si>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</si>
  <si>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</si>
  <si>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</si>
  <si>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</si>
  <si>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</si>
  <si>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</si>
  <si>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</si>
  <si>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</si>
  <si>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</si>
  <si>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</si>
  <si>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</si>
  <si>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</si>
  <si>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</si>
  <si>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</si>
  <si>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</si>
  <si>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</si>
  <si>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</si>
  <si>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</si>
  <si>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</si>
  <si>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>Circ &amp; Items as a % of Total</t>
  </si>
  <si>
    <t>LIBRARY</t>
  </si>
  <si>
    <t>items per total</t>
  </si>
  <si>
    <t>circ per total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</si>
  <si>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</si>
  <si>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</si>
  <si>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</si>
  <si>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</si>
  <si>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</si>
  <si>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</si>
  <si>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</si>
  <si>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</si>
  <si>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</si>
  <si>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</si>
  <si>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</si>
  <si>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</si>
  <si>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</si>
  <si>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</si>
  <si>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</si>
  <si>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</si>
  <si>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</si>
  <si>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</si>
  <si>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</si>
  <si>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</si>
  <si>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</si>
  <si>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</si>
  <si>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</si>
  <si>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</si>
  <si>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</si>
  <si>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</si>
  <si>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</si>
  <si>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</si>
  <si>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</si>
  <si>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</si>
  <si>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</si>
  <si>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</si>
  <si>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</si>
  <si>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</si>
  <si>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</si>
  <si>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</si>
  <si>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</si>
  <si>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</si>
  <si>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</si>
  <si>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</si>
  <si>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</si>
  <si>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</si>
  <si>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</si>
  <si>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</si>
  <si>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</si>
  <si>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</si>
  <si>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</si>
  <si>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</si>
  <si>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</si>
  <si>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</si>
  <si>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</si>
  <si>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</si>
  <si>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</si>
  <si>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</si>
  <si>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</si>
  <si>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</si>
  <si>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</si>
  <si>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</si>
  <si>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</si>
  <si>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</si>
  <si>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</si>
  <si>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</si>
  <si>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</si>
  <si>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</si>
  <si>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</si>
  <si>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</si>
  <si>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</si>
  <si>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</si>
  <si>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</si>
  <si>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</si>
  <si>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</si>
  <si>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</si>
  <si>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</si>
  <si>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</si>
  <si>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</si>
  <si>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</si>
  <si>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</si>
  <si>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</si>
  <si>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</si>
  <si>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Possible New Products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</si>
  <si>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</si>
  <si>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</si>
  <si>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</si>
  <si>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</si>
  <si>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</si>
  <si>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</si>
  <si>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</si>
  <si>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</si>
  <si>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</si>
  <si>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</si>
  <si>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</si>
  <si>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 xml:space="preserve">   Adj to Close Books @ end of 2015</t>
  </si>
  <si>
    <t>IFLS Subsidy per Library</t>
  </si>
  <si>
    <t>Email and text reminder subscription</t>
  </si>
  <si>
    <t>Content Café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</si>
  <si>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</si>
  <si>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</si>
  <si>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</si>
  <si>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</si>
  <si>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</si>
  <si>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</si>
  <si>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</si>
  <si>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</si>
  <si>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</si>
  <si>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</si>
  <si>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</si>
  <si>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OCLC, Web Dewey, and RDA Toolkit</t>
  </si>
  <si>
    <t xml:space="preserve">Eau Claire </t>
  </si>
  <si>
    <t>Carryover @ 12/31/17</t>
  </si>
  <si>
    <t xml:space="preserve">   Less 2018 Add'l from Carryover (revised budget)</t>
  </si>
  <si>
    <t xml:space="preserve">   Reserves - Boopsie deferred to 2018</t>
  </si>
  <si>
    <t>Ongoing authority processing service</t>
  </si>
  <si>
    <t>Eau Claire, Chippewa, Menomonie, Ladysmith, Balsam Lake, others</t>
  </si>
  <si>
    <t>Electronic magazines</t>
  </si>
  <si>
    <t>Hosting Sierra and Encore servers</t>
  </si>
  <si>
    <t xml:space="preserve">   Less 2020 Add'l from Carryover (revised budget)</t>
  </si>
  <si>
    <t xml:space="preserve">   Adj to Close Books @ end of 2020</t>
  </si>
  <si>
    <t xml:space="preserve">  Collection Agency</t>
  </si>
  <si>
    <t xml:space="preserve">   Libraries with Additional Maintenance re: Special Modules or Self-check @----&gt;</t>
  </si>
  <si>
    <t>Discovery/Online Catalog</t>
  </si>
  <si>
    <t>BiblioApps library app from Bibliocommons</t>
  </si>
  <si>
    <t>MORE Funds</t>
  </si>
  <si>
    <t>Including</t>
  </si>
  <si>
    <t>Partner Credits</t>
  </si>
  <si>
    <t>Ctlg Partner Credits</t>
  </si>
  <si>
    <t>Cataloging Partners</t>
  </si>
  <si>
    <t>IFLS Subsidy  for Cataloging Partners</t>
  </si>
  <si>
    <t xml:space="preserve">   Off Top</t>
  </si>
  <si>
    <t xml:space="preserve">   Less 2021 Add'l from Carryover (revised budget)</t>
  </si>
  <si>
    <t xml:space="preserve">   Adj to Close Books @ end of 2021</t>
  </si>
  <si>
    <t xml:space="preserve">   Adj to Close Books @ end of 2019</t>
  </si>
  <si>
    <t xml:space="preserve">   Less 2019 Add'l from Carryover (revised budget)</t>
  </si>
  <si>
    <t xml:space="preserve">   Less $ Committed to 2022 Projects from Carryover</t>
  </si>
  <si>
    <t xml:space="preserve">   Less $ Committed to 2021 Projects from Carryover</t>
  </si>
  <si>
    <t xml:space="preserve">   Less $ Committed to 2020 Projects from Carryover</t>
  </si>
  <si>
    <t>Actual Carryover @ 12/31/19</t>
  </si>
  <si>
    <t>Actual Carryover @ 12/31/18</t>
  </si>
  <si>
    <t>New</t>
  </si>
  <si>
    <t>Fairchild</t>
  </si>
  <si>
    <t>% Chg</t>
  </si>
  <si>
    <t>Fairchild  * 7/1/2021</t>
  </si>
  <si>
    <t>2020 Total items+circ</t>
  </si>
  <si>
    <t>3 yr Avg items+circ</t>
  </si>
  <si>
    <t>3 yr Avg % of Total</t>
  </si>
  <si>
    <t xml:space="preserve"> (not to exceed 1/2 of Total costs)</t>
  </si>
  <si>
    <t>iTIVA from illion (formerly Talking Tech)</t>
  </si>
  <si>
    <t>Telephone notification and renewal service, annual fee</t>
  </si>
  <si>
    <t>Approved by MORE Directors Council, May 2021</t>
  </si>
  <si>
    <t>Envisionware</t>
  </si>
  <si>
    <t>Express Lane</t>
  </si>
  <si>
    <t>None</t>
  </si>
  <si>
    <t>CVTC   (original: 1/1/2000; withdrawal: 1/1/2006) 7/1/2022</t>
  </si>
  <si>
    <t>Durand   * 1/1/2022</t>
  </si>
  <si>
    <t>(4% inc)</t>
  </si>
  <si>
    <t xml:space="preserve">  Self-check @ $372/</t>
  </si>
  <si>
    <t>2021 Total items+circ</t>
  </si>
  <si>
    <t>CVTC</t>
  </si>
  <si>
    <t>Durand</t>
  </si>
  <si>
    <t>Reserve @ '23 = $24,000</t>
  </si>
  <si>
    <t>Reserve @ '23 = $175,000</t>
  </si>
  <si>
    <t>Reserve @ '23 = $25,000</t>
  </si>
  <si>
    <t xml:space="preserve">   Less $ Committed to 2023 Projects from Carryover</t>
  </si>
  <si>
    <t xml:space="preserve">   Adj to Close Books @ end of 2022</t>
  </si>
  <si>
    <t xml:space="preserve">  Plus Fairchild, Durand, CVTC Startup (less 1/2 yr Maint)</t>
  </si>
  <si>
    <t xml:space="preserve">   Less 2022 Add'l from Carryover (revised budget)</t>
  </si>
  <si>
    <t xml:space="preserve">  Plus </t>
  </si>
  <si>
    <t xml:space="preserve">   Less $ Committed to 2019 Projects from Carryover</t>
  </si>
  <si>
    <t xml:space="preserve">   Less 2023 Add'l from Carryover (revised budget)</t>
  </si>
  <si>
    <t xml:space="preserve">   Adj to Close Books @ end of 2023</t>
  </si>
  <si>
    <t>ACTUAL Carryover @ 12/31/20</t>
  </si>
  <si>
    <t>ACTUAL Carryover @ 12/31/2021</t>
  </si>
  <si>
    <t>Est Carryover @ 12/31/2023</t>
  </si>
  <si>
    <t>Total =</t>
  </si>
  <si>
    <t>Reserves  =</t>
  </si>
  <si>
    <t>Based on IFLS's state aid; includes some IFLS personnel, CABS (Cataloging and Bibliographic Services): centralized bibliographic services, committee meetings, training travel/meetings, and telephone expenses</t>
  </si>
  <si>
    <t>Envisionware, AMH</t>
  </si>
  <si>
    <t>Collection development/statistical analysis tool</t>
  </si>
  <si>
    <t>Approved</t>
  </si>
  <si>
    <t>2023: Niche Academy, a training tutorials platform</t>
  </si>
  <si>
    <t>2024 MORE Costs to Library Participants</t>
  </si>
  <si>
    <t xml:space="preserve">2024 Total MORE Budget = </t>
  </si>
  <si>
    <t xml:space="preserve">Less 2024 IFLS Subsidy (off top) = </t>
  </si>
  <si>
    <t xml:space="preserve">2024 MORE Budget billable to Libs = </t>
  </si>
  <si>
    <t xml:space="preserve">Add'l 2024 IFLS Subsidy = Am't per Lib (Half Min) </t>
  </si>
  <si>
    <t xml:space="preserve">Add'l 2024 IFLS Subsidy for Cataloging Partners =  </t>
  </si>
  <si>
    <t>2023 +/-</t>
  </si>
  <si>
    <t>2023 Budget</t>
  </si>
  <si>
    <t>2024         Total         Cost to Library</t>
  </si>
  <si>
    <t>2024  Contents/ Materials</t>
  </si>
  <si>
    <t>2024     General Maintenance</t>
  </si>
  <si>
    <t>MORE 2024 Cost Allocations using 3 year Average for Items &amp; Circ</t>
  </si>
  <si>
    <t>2022          items</t>
  </si>
  <si>
    <t>2022            circ</t>
  </si>
  <si>
    <t>2022 Total items+circ</t>
  </si>
  <si>
    <t>Cornell</t>
  </si>
  <si>
    <t xml:space="preserve">2023 Costs </t>
  </si>
  <si>
    <t xml:space="preserve"> 2023 Total</t>
  </si>
  <si>
    <t>Automation software support; 4% annual increase based on 3-year Sierra maintainenance agreement (2022-2024)</t>
  </si>
  <si>
    <r>
      <t xml:space="preserve">Online catalog software; </t>
    </r>
    <r>
      <rPr>
        <u val="singleAccounting"/>
        <sz val="11"/>
        <rFont val="Arial"/>
        <family val="2"/>
      </rPr>
      <t>BiblioCore starting 2020</t>
    </r>
    <r>
      <rPr>
        <sz val="11"/>
        <rFont val="Arial"/>
        <family val="2"/>
      </rPr>
      <t>. 2024 cost reflects year 3 pricing</t>
    </r>
  </si>
  <si>
    <t>Statistical and collection development tool: Decision Center</t>
  </si>
  <si>
    <t>Niche Academy</t>
  </si>
  <si>
    <t>Training/tutorials platform</t>
  </si>
  <si>
    <t>Primarily annual Innovative Users Group Conference</t>
  </si>
  <si>
    <t>Statewide OverDrive collection buying pool including OverDrive magazines; some funds returned for system Advantage account</t>
  </si>
  <si>
    <t>adjust re M62</t>
  </si>
  <si>
    <t>ACTUAL Carryover @ 12/31/2022</t>
  </si>
  <si>
    <t>Shared Services</t>
  </si>
  <si>
    <t>Rice Lake</t>
  </si>
  <si>
    <t xml:space="preserve"> </t>
  </si>
  <si>
    <t>2024 Preliminary budget</t>
  </si>
  <si>
    <t>Preliminary</t>
  </si>
  <si>
    <t>IFLS OverDrive Advantage program; 2024 RSCD Recommendation: $60,000</t>
  </si>
  <si>
    <t>Flipster is current product; 2024 RSCD Recommendation: $5,000</t>
  </si>
  <si>
    <t>To purchase high-demand materials in any format; 2024 RSCD Recommendation: $10,000</t>
  </si>
  <si>
    <t>Based on 2024 Preliminary budget</t>
  </si>
  <si>
    <t>Preliminary Budget</t>
  </si>
  <si>
    <t xml:space="preserve">  8% increase</t>
  </si>
  <si>
    <t xml:space="preserve">2024 Preliminary Costs </t>
  </si>
  <si>
    <t xml:space="preserve">  2024 Preliminary Budget:  =</t>
  </si>
  <si>
    <t xml:space="preserve"> 2024 Preliminary Total</t>
  </si>
  <si>
    <t>Cornell   * 7/1/2023</t>
  </si>
  <si>
    <t>2015-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</si>
</sst>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40" applyNumberFormat="0" applyAlignment="0" applyProtection="0"/>
    <xf numFmtId="0" fontId="27" fillId="14" borderId="41" applyNumberFormat="0" applyAlignment="0" applyProtection="0"/>
    <xf numFmtId="0" fontId="28" fillId="14" borderId="40" applyNumberFormat="0" applyAlignment="0" applyProtection="0"/>
    <xf numFmtId="0" fontId="29" fillId="0" borderId="42" applyNumberFormat="0" applyFill="0" applyAlignment="0" applyProtection="0"/>
    <xf numFmtId="0" fontId="30" fillId="15" borderId="4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  <xf numFmtId="0" fontId="1" fillId="16" borderId="44" applyNumberFormat="0" applyFont="0" applyAlignment="0" applyProtection="0"/>
  </cellStyleXfs>
  <cellXfs count="32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Alignment="1">
      <alignment horizontal="right"/>
    </xf>
    <xf numFmtId="0" fontId="9" fillId="0" borderId="0" xfId="3" applyAlignment="1">
      <alignment horizontal="right"/>
    </xf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0" xfId="3" applyFont="1"/>
    <xf numFmtId="167" fontId="9" fillId="0" borderId="0" xfId="3" applyNumberFormat="1"/>
    <xf numFmtId="167" fontId="9" fillId="0" borderId="7" xfId="3" applyNumberFormat="1" applyBorder="1"/>
    <xf numFmtId="168" fontId="9" fillId="0" borderId="0" xfId="3" applyNumberFormat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Alignment="1">
      <alignment horizontal="left"/>
    </xf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0" fontId="9" fillId="0" borderId="20" xfId="3" applyBorder="1"/>
    <xf numFmtId="0" fontId="9" fillId="0" borderId="21" xfId="3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167" fontId="9" fillId="0" borderId="1" xfId="4" applyNumberFormat="1" applyBorder="1"/>
    <xf numFmtId="1" fontId="9" fillId="0" borderId="0" xfId="4" applyNumberFormat="1"/>
    <xf numFmtId="167" fontId="9" fillId="0" borderId="26" xfId="4" applyNumberFormat="1" applyBorder="1"/>
    <xf numFmtId="167" fontId="9" fillId="0" borderId="0" xfId="4" applyNumberFormat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/>
    <xf numFmtId="167" fontId="10" fillId="2" borderId="2" xfId="4" applyNumberFormat="1" applyFont="1" applyFill="1" applyBorder="1"/>
    <xf numFmtId="44" fontId="2" fillId="4" borderId="15" xfId="2" applyFont="1" applyFill="1" applyBorder="1" applyAlignment="1">
      <alignment horizontal="right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/>
    <xf numFmtId="0" fontId="0" fillId="6" borderId="5" xfId="0" applyFill="1" applyBorder="1"/>
    <xf numFmtId="0" fontId="3" fillId="6" borderId="5" xfId="0" applyFont="1" applyFill="1" applyBorder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0" fillId="0" borderId="35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3" fontId="2" fillId="0" borderId="0" xfId="1" applyFill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6" xfId="3" applyFont="1" applyFill="1" applyBorder="1" applyAlignment="1">
      <alignment horizontal="center" wrapText="1"/>
    </xf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169" fontId="4" fillId="0" borderId="27" xfId="5" applyNumberFormat="1" applyFont="1" applyFill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Border="1"/>
    <xf numFmtId="167" fontId="4" fillId="0" borderId="26" xfId="58" applyNumberFormat="1" applyBorder="1"/>
    <xf numFmtId="167" fontId="4" fillId="0" borderId="0" xfId="58" applyNumberForma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0" fontId="35" fillId="0" borderId="0" xfId="0" applyFont="1"/>
    <xf numFmtId="43" fontId="0" fillId="41" borderId="0" xfId="0" applyNumberFormat="1" applyFill="1"/>
    <xf numFmtId="0" fontId="35" fillId="0" borderId="12" xfId="0" applyFont="1" applyBorder="1"/>
    <xf numFmtId="167" fontId="10" fillId="0" borderId="17" xfId="1" applyNumberFormat="1" applyFont="1" applyFill="1" applyBorder="1"/>
    <xf numFmtId="3" fontId="9" fillId="0" borderId="0" xfId="4" applyNumberForma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Alignment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Border="1">
      <alignment wrapText="1"/>
    </xf>
    <xf numFmtId="44" fontId="2" fillId="9" borderId="12" xfId="2" applyFont="1" applyFill="1" applyBorder="1">
      <alignment wrapText="1"/>
    </xf>
    <xf numFmtId="44" fontId="5" fillId="4" borderId="12" xfId="2" applyFont="1" applyFill="1" applyBorder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Border="1"/>
    <xf numFmtId="44" fontId="10" fillId="0" borderId="18" xfId="2" applyFont="1" applyFill="1" applyBorder="1">
      <alignment wrapText="1"/>
    </xf>
    <xf numFmtId="0" fontId="4" fillId="0" borderId="0" xfId="0" applyFont="1" applyAlignment="1">
      <alignment horizontal="left"/>
    </xf>
    <xf numFmtId="44" fontId="3" fillId="6" borderId="5" xfId="2" applyFont="1" applyFill="1" applyBorder="1">
      <alignment wrapText="1"/>
    </xf>
    <xf numFmtId="44" fontId="0" fillId="0" borderId="0" xfId="2" applyFont="1" applyFill="1">
      <alignment wrapText="1"/>
    </xf>
    <xf numFmtId="43" fontId="0" fillId="0" borderId="0" xfId="1" applyFont="1" applyFill="1" applyAlignment="1">
      <alignment wrapText="1"/>
    </xf>
    <xf numFmtId="0" fontId="2" fillId="0" borderId="12" xfId="0" applyFont="1" applyBorder="1"/>
    <xf numFmtId="44" fontId="0" fillId="41" borderId="0" xfId="0" applyNumberFormat="1" applyFill="1"/>
    <xf numFmtId="0" fontId="0" fillId="0" borderId="17" xfId="0" applyBorder="1" applyAlignment="1">
      <alignment horizontal="left"/>
    </xf>
    <xf numFmtId="44" fontId="2" fillId="0" borderId="12" xfId="2" applyFont="1" applyBorder="1" applyAlignment="1">
      <alignment vertical="center" wrapText="1"/>
    </xf>
    <xf numFmtId="164" fontId="10" fillId="42" borderId="7" xfId="4" applyNumberFormat="1" applyFont="1" applyFill="1" applyBorder="1"/>
    <xf numFmtId="167" fontId="4" fillId="42" borderId="0" xfId="1" applyNumberFormat="1" applyFont="1" applyFill="1" applyBorder="1"/>
    <xf numFmtId="167" fontId="9" fillId="0" borderId="15" xfId="4" applyNumberFormat="1" applyBorder="1"/>
    <xf numFmtId="169" fontId="9" fillId="0" borderId="15" xfId="5" applyNumberFormat="1" applyFont="1" applyBorder="1"/>
    <xf numFmtId="169" fontId="9" fillId="42" borderId="0" xfId="5" applyNumberFormat="1" applyFont="1" applyFill="1"/>
    <xf numFmtId="167" fontId="4" fillId="8" borderId="0" xfId="1" applyNumberFormat="1" applyFont="1" applyFill="1" applyBorder="1"/>
    <xf numFmtId="0" fontId="4" fillId="2" borderId="17" xfId="3" applyFont="1" applyFill="1" applyBorder="1" applyAlignment="1">
      <alignment horizontal="center" wrapText="1"/>
    </xf>
    <xf numFmtId="167" fontId="9" fillId="0" borderId="28" xfId="3" applyNumberFormat="1" applyBorder="1"/>
    <xf numFmtId="167" fontId="4" fillId="0" borderId="35" xfId="1" applyNumberFormat="1" applyFont="1" applyBorder="1"/>
    <xf numFmtId="0" fontId="9" fillId="0" borderId="28" xfId="3" applyBorder="1"/>
    <xf numFmtId="0" fontId="9" fillId="0" borderId="35" xfId="3" applyBorder="1"/>
    <xf numFmtId="164" fontId="10" fillId="0" borderId="0" xfId="4" applyNumberFormat="1" applyFont="1"/>
    <xf numFmtId="43" fontId="3" fillId="9" borderId="15" xfId="0" applyNumberFormat="1" applyFont="1" applyFill="1" applyBorder="1"/>
    <xf numFmtId="43" fontId="3" fillId="43" borderId="15" xfId="0" applyNumberFormat="1" applyFont="1" applyFill="1" applyBorder="1"/>
    <xf numFmtId="43" fontId="3" fillId="44" borderId="15" xfId="0" applyNumberFormat="1" applyFont="1" applyFill="1" applyBorder="1"/>
    <xf numFmtId="43" fontId="3" fillId="45" borderId="15" xfId="0" applyNumberFormat="1" applyFont="1" applyFill="1" applyBorder="1"/>
    <xf numFmtId="43" fontId="3" fillId="46" borderId="15" xfId="0" applyNumberFormat="1" applyFont="1" applyFill="1" applyBorder="1"/>
    <xf numFmtId="43" fontId="3" fillId="47" borderId="15" xfId="0" applyNumberFormat="1" applyFont="1" applyFill="1" applyBorder="1"/>
    <xf numFmtId="43" fontId="3" fillId="48" borderId="15" xfId="0" applyNumberFormat="1" applyFont="1" applyFill="1" applyBorder="1"/>
    <xf numFmtId="0" fontId="0" fillId="41" borderId="0" xfId="0" applyFill="1"/>
    <xf numFmtId="0" fontId="4" fillId="0" borderId="0" xfId="4" applyFont="1" applyAlignment="1">
      <alignment horizontal="center"/>
    </xf>
    <xf numFmtId="167" fontId="9" fillId="0" borderId="0" xfId="1" applyNumberFormat="1" applyFont="1" applyFill="1"/>
    <xf numFmtId="10" fontId="9" fillId="0" borderId="0" xfId="5" applyNumberFormat="1" applyFont="1" applyFill="1"/>
    <xf numFmtId="167" fontId="9" fillId="0" borderId="5" xfId="4" applyNumberFormat="1" applyBorder="1"/>
    <xf numFmtId="10" fontId="3" fillId="0" borderId="0" xfId="5" applyNumberFormat="1" applyFont="1"/>
    <xf numFmtId="0" fontId="10" fillId="0" borderId="1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8" borderId="2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167" fontId="4" fillId="0" borderId="5" xfId="1" applyNumberFormat="1" applyFont="1" applyFill="1" applyBorder="1"/>
    <xf numFmtId="167" fontId="4" fillId="8" borderId="5" xfId="1" applyNumberFormat="1" applyFont="1" applyFill="1" applyBorder="1"/>
    <xf numFmtId="167" fontId="9" fillId="2" borderId="5" xfId="4" applyNumberFormat="1" applyFill="1" applyBorder="1"/>
    <xf numFmtId="169" fontId="4" fillId="0" borderId="6" xfId="5" applyNumberFormat="1" applyFont="1" applyFill="1" applyBorder="1"/>
    <xf numFmtId="167" fontId="4" fillId="0" borderId="33" xfId="1" applyNumberFormat="1" applyFont="1" applyFill="1" applyBorder="1" applyAlignment="1">
      <alignment wrapText="1"/>
    </xf>
    <xf numFmtId="167" fontId="4" fillId="49" borderId="0" xfId="1" applyNumberFormat="1" applyFont="1" applyFill="1"/>
    <xf numFmtId="167" fontId="4" fillId="50" borderId="0" xfId="1" applyNumberFormat="1" applyFont="1" applyFill="1"/>
    <xf numFmtId="167" fontId="10" fillId="0" borderId="17" xfId="1" applyNumberFormat="1" applyFont="1" applyFill="1" applyBorder="1" applyAlignment="1">
      <alignment horizontal="center" wrapText="1"/>
    </xf>
    <xf numFmtId="9" fontId="9" fillId="0" borderId="0" xfId="4" applyNumberFormat="1" applyAlignment="1">
      <alignment horizontal="center"/>
    </xf>
    <xf numFmtId="165" fontId="9" fillId="0" borderId="0" xfId="4" applyNumberFormat="1"/>
    <xf numFmtId="0" fontId="9" fillId="0" borderId="0" xfId="4" applyAlignment="1">
      <alignment horizontal="right"/>
    </xf>
    <xf numFmtId="0" fontId="9" fillId="4" borderId="46" xfId="3" applyFill="1" applyBorder="1"/>
    <xf numFmtId="167" fontId="4" fillId="4" borderId="15" xfId="1" applyNumberFormat="1" applyFont="1" applyFill="1" applyBorder="1"/>
    <xf numFmtId="3" fontId="9" fillId="49" borderId="0" xfId="4" applyNumberFormat="1" applyFill="1"/>
    <xf numFmtId="167" fontId="9" fillId="0" borderId="0" xfId="1" applyNumberFormat="1" applyFont="1"/>
    <xf numFmtId="43" fontId="3" fillId="52" borderId="15" xfId="0" applyNumberFormat="1" applyFont="1" applyFill="1" applyBorder="1"/>
    <xf numFmtId="0" fontId="8" fillId="51" borderId="0" xfId="4" applyFont="1" applyFill="1" applyAlignment="1">
      <alignment horizontal="center"/>
    </xf>
    <xf numFmtId="3" fontId="38" fillId="0" borderId="0" xfId="0" applyNumberFormat="1" applyFont="1" applyAlignment="1">
      <alignment horizontal="right"/>
    </xf>
    <xf numFmtId="164" fontId="10" fillId="41" borderId="0" xfId="4" applyNumberFormat="1" applyFont="1" applyFill="1"/>
    <xf numFmtId="44" fontId="2" fillId="0" borderId="47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41" borderId="0" xfId="4" applyFont="1" applyFill="1"/>
    <xf numFmtId="167" fontId="0" fillId="0" borderId="28" xfId="1" applyNumberFormat="1" applyFont="1" applyFill="1" applyBorder="1"/>
    <xf numFmtId="167" fontId="4" fillId="0" borderId="0" xfId="4" applyNumberFormat="1" applyFont="1" applyAlignment="1">
      <alignment horizontal="right"/>
    </xf>
    <xf numFmtId="10" fontId="4" fillId="50" borderId="0" xfId="5" applyNumberFormat="1" applyFont="1" applyFill="1"/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0" fillId="0" borderId="17" xfId="4" applyFont="1" applyBorder="1" applyAlignment="1">
      <alignment wrapText="1"/>
    </xf>
    <xf numFmtId="44" fontId="3" fillId="0" borderId="7" xfId="2" applyFont="1" applyBorder="1">
      <alignment wrapText="1"/>
    </xf>
    <xf numFmtId="0" fontId="23" fillId="10" borderId="0" xfId="23"/>
    <xf numFmtId="0" fontId="25" fillId="12" borderId="0" xfId="25" applyAlignment="1">
      <alignment wrapText="1"/>
    </xf>
    <xf numFmtId="43" fontId="25" fillId="12" borderId="0" xfId="25" applyNumberFormat="1" applyAlignment="1">
      <alignment wrapText="1"/>
    </xf>
    <xf numFmtId="0" fontId="25" fillId="12" borderId="0" xfId="25"/>
    <xf numFmtId="43" fontId="23" fillId="10" borderId="0" xfId="23" applyNumberFormat="1" applyAlignment="1">
      <alignment wrapText="1"/>
    </xf>
    <xf numFmtId="43" fontId="34" fillId="21" borderId="0" xfId="38" applyNumberFormat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Alignment="1">
      <alignment horizontal="center"/>
    </xf>
    <xf numFmtId="44" fontId="2" fillId="0" borderId="7" xfId="2" applyFont="1" applyFill="1" applyBorder="1">
      <alignment wrapText="1"/>
    </xf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J74"/>
  <sheetViews>
    <sheetView tabSelected="1" showRuler="0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4" width="18" style="205" customWidth="1"/>
    <col min="5" max="6" width="18" customWidth="1"/>
    <col min="7" max="7" width="1.125" customWidth="1"/>
    <col min="8" max="8" width="18" style="205" customWidth="1"/>
    <col min="9" max="9" width="33.375" customWidth="1"/>
    <col min="10" max="10" width="14.25" bestFit="1" customWidth="1"/>
  </cols>
  <sheetData>
    <row r="1" spans="1:9" ht="15">
      <c r="B1" s="1" t="s">
        <v>0</v>
      </c>
    </row>
    <row r="2" spans="1:9" ht="15">
      <c r="B2" s="1" t="s">
        <v>400</v>
      </c>
    </row>
    <row r="3" spans="1:9" ht="15">
      <c r="B3" s="7">
        <v>45064</v>
      </c>
    </row>
    <row r="4" spans="1:9" ht="5.25" customHeight="1" thickBot="1"/>
    <row r="5" spans="1:9" ht="18" customHeight="1" thickBot="1">
      <c r="A5" s="9" t="s">
        <v>1</v>
      </c>
      <c r="B5" s="2"/>
      <c r="C5" s="13"/>
      <c r="D5" s="206" t="s">
        <v>368</v>
      </c>
      <c r="E5" s="9" t="s">
        <v>376</v>
      </c>
      <c r="F5" s="300" t="s">
        <v>2</v>
      </c>
      <c r="G5" s="300"/>
      <c r="H5" s="206" t="s">
        <v>401</v>
      </c>
      <c r="I5" s="3"/>
    </row>
    <row r="6" spans="1:9" ht="18" customHeight="1" thickBot="1">
      <c r="A6" s="10" t="s">
        <v>3</v>
      </c>
      <c r="B6" s="4" t="s">
        <v>4</v>
      </c>
      <c r="C6" s="14"/>
      <c r="D6" s="207">
        <v>2023</v>
      </c>
      <c r="E6" s="10" t="s">
        <v>5</v>
      </c>
      <c r="F6" s="301" t="s">
        <v>377</v>
      </c>
      <c r="G6" s="301"/>
      <c r="H6" s="207">
        <v>2024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8"/>
      <c r="I8" s="216"/>
    </row>
    <row r="9" spans="1:9" ht="57.75">
      <c r="A9" s="15">
        <v>1</v>
      </c>
      <c r="B9" s="128" t="s">
        <v>7</v>
      </c>
      <c r="C9" s="11"/>
      <c r="D9" s="8">
        <v>150524</v>
      </c>
      <c r="E9" s="118"/>
      <c r="F9" s="8"/>
      <c r="G9" s="11"/>
      <c r="H9" s="229">
        <v>159414</v>
      </c>
      <c r="I9" s="112" t="s">
        <v>388</v>
      </c>
    </row>
    <row r="10" spans="1:9" ht="24.75" customHeight="1">
      <c r="A10" s="15">
        <v>2</v>
      </c>
      <c r="B10" s="21" t="s">
        <v>267</v>
      </c>
      <c r="C10" s="11"/>
      <c r="D10" s="8">
        <v>350</v>
      </c>
      <c r="E10" s="8"/>
      <c r="F10" s="8"/>
      <c r="G10" s="11"/>
      <c r="H10" s="8">
        <v>350</v>
      </c>
      <c r="I10" s="218" t="s">
        <v>276</v>
      </c>
    </row>
    <row r="11" spans="1:9" ht="15">
      <c r="A11" s="15">
        <v>3</v>
      </c>
      <c r="B11" s="128" t="s">
        <v>8</v>
      </c>
      <c r="C11" s="137"/>
      <c r="D11" s="219"/>
      <c r="E11" s="137"/>
      <c r="F11" s="137"/>
      <c r="G11" s="190"/>
      <c r="H11" s="219"/>
      <c r="I11" s="219"/>
    </row>
    <row r="12" spans="1:9">
      <c r="A12" s="15">
        <v>4</v>
      </c>
      <c r="B12" s="21" t="s">
        <v>264</v>
      </c>
      <c r="C12" s="11"/>
      <c r="D12" s="8">
        <v>8000</v>
      </c>
      <c r="E12" s="8"/>
      <c r="F12" s="229"/>
      <c r="G12" s="11"/>
      <c r="H12" s="8">
        <v>8000</v>
      </c>
      <c r="I12" s="218" t="s">
        <v>302</v>
      </c>
    </row>
    <row r="13" spans="1:9" ht="24.75" customHeight="1">
      <c r="A13" s="15">
        <v>5</v>
      </c>
      <c r="B13" s="21" t="s">
        <v>268</v>
      </c>
      <c r="C13" s="11"/>
      <c r="D13" s="8">
        <v>3000</v>
      </c>
      <c r="E13" s="8"/>
      <c r="F13" s="229"/>
      <c r="G13" s="11"/>
      <c r="H13" s="8">
        <v>2000</v>
      </c>
      <c r="I13" s="112" t="s">
        <v>284</v>
      </c>
    </row>
    <row r="14" spans="1:9" ht="24.75" customHeight="1">
      <c r="A14" s="15">
        <v>6</v>
      </c>
      <c r="B14" s="21" t="s">
        <v>269</v>
      </c>
      <c r="C14" s="11"/>
      <c r="D14" s="8">
        <v>7500</v>
      </c>
      <c r="E14" s="8"/>
      <c r="F14" s="229"/>
      <c r="G14" s="11"/>
      <c r="H14" s="229">
        <v>5785</v>
      </c>
      <c r="I14" s="218" t="s">
        <v>279</v>
      </c>
    </row>
    <row r="15" spans="1:9" ht="61.5" customHeight="1">
      <c r="A15" s="15">
        <v>7</v>
      </c>
      <c r="B15" s="240" t="s">
        <v>310</v>
      </c>
      <c r="C15" s="11"/>
      <c r="D15" s="8">
        <v>49937</v>
      </c>
      <c r="E15" s="8"/>
      <c r="F15" s="229"/>
      <c r="G15" s="11"/>
      <c r="H15" s="229">
        <v>51435</v>
      </c>
      <c r="I15" s="243" t="s">
        <v>389</v>
      </c>
    </row>
    <row r="16" spans="1:9" ht="28.5">
      <c r="A16" s="15">
        <v>8</v>
      </c>
      <c r="B16" s="240" t="s">
        <v>367</v>
      </c>
      <c r="C16" s="11"/>
      <c r="D16" s="8">
        <v>40000</v>
      </c>
      <c r="E16" s="8"/>
      <c r="F16" s="229"/>
      <c r="G16" s="11"/>
      <c r="H16" s="8">
        <v>35823</v>
      </c>
      <c r="I16" s="112" t="s">
        <v>390</v>
      </c>
    </row>
    <row r="17" spans="1:9">
      <c r="A17" s="15">
        <v>9</v>
      </c>
      <c r="B17" s="201" t="s">
        <v>285</v>
      </c>
      <c r="C17" s="11"/>
      <c r="D17" s="8">
        <v>3523</v>
      </c>
      <c r="E17" s="8"/>
      <c r="F17" s="229"/>
      <c r="G17" s="11"/>
      <c r="H17" s="229">
        <v>3629</v>
      </c>
      <c r="I17" s="217" t="s">
        <v>281</v>
      </c>
    </row>
    <row r="18" spans="1:9" ht="28.5">
      <c r="A18" s="15">
        <v>10</v>
      </c>
      <c r="B18" s="240" t="s">
        <v>336</v>
      </c>
      <c r="C18" s="11"/>
      <c r="D18" s="8">
        <v>11681</v>
      </c>
      <c r="E18" s="190"/>
      <c r="F18" s="229"/>
      <c r="G18" s="11"/>
      <c r="H18" s="229">
        <v>12033</v>
      </c>
      <c r="I18" s="112" t="s">
        <v>337</v>
      </c>
    </row>
    <row r="19" spans="1:9" ht="28.5">
      <c r="A19" s="15">
        <v>11</v>
      </c>
      <c r="B19" s="21" t="s">
        <v>311</v>
      </c>
      <c r="C19" s="11"/>
      <c r="D19" s="8">
        <v>12485</v>
      </c>
      <c r="E19" s="8"/>
      <c r="F19" s="229"/>
      <c r="G19" s="11"/>
      <c r="H19" s="229">
        <v>12859</v>
      </c>
      <c r="I19" s="112" t="s">
        <v>338</v>
      </c>
    </row>
    <row r="20" spans="1:9">
      <c r="A20" s="15">
        <v>12</v>
      </c>
      <c r="B20" s="240" t="s">
        <v>391</v>
      </c>
      <c r="C20" s="11"/>
      <c r="D20" s="8"/>
      <c r="E20" s="8"/>
      <c r="F20" s="229"/>
      <c r="G20" s="11"/>
      <c r="H20" s="8">
        <v>6600</v>
      </c>
      <c r="I20" s="112" t="s">
        <v>392</v>
      </c>
    </row>
    <row r="21" spans="1:9" ht="29.25">
      <c r="A21" s="15">
        <v>13</v>
      </c>
      <c r="B21" s="21" t="s">
        <v>270</v>
      </c>
      <c r="C21" s="11"/>
      <c r="D21" s="8">
        <v>6600</v>
      </c>
      <c r="E21" s="8"/>
      <c r="F21" s="229"/>
      <c r="G21" s="11"/>
      <c r="H21" s="303"/>
      <c r="I21" s="112" t="s">
        <v>369</v>
      </c>
    </row>
    <row r="22" spans="1:9" ht="24.75" customHeight="1">
      <c r="A22" s="15">
        <v>14</v>
      </c>
      <c r="B22" s="128" t="s">
        <v>9</v>
      </c>
      <c r="C22" s="137"/>
      <c r="D22" s="212"/>
      <c r="E22" s="137"/>
      <c r="F22" s="137"/>
      <c r="G22" s="190"/>
      <c r="H22" s="212"/>
      <c r="I22" s="219"/>
    </row>
    <row r="23" spans="1:9" ht="76.5">
      <c r="A23" s="15">
        <v>15</v>
      </c>
      <c r="B23" s="21" t="s">
        <v>271</v>
      </c>
      <c r="C23" s="11"/>
      <c r="D23" s="190">
        <f>(290000*1.05)+142000</f>
        <v>446500</v>
      </c>
      <c r="E23" s="8"/>
      <c r="F23" s="229"/>
      <c r="G23" s="11"/>
      <c r="H23" s="319">
        <v>489650</v>
      </c>
      <c r="I23" s="216" t="s">
        <v>365</v>
      </c>
    </row>
    <row r="24" spans="1:9" ht="24.75" customHeight="1">
      <c r="A24" s="15">
        <v>16</v>
      </c>
      <c r="B24" s="21" t="s">
        <v>278</v>
      </c>
      <c r="C24" s="11"/>
      <c r="D24" s="8">
        <v>3500</v>
      </c>
      <c r="E24" s="8"/>
      <c r="F24" s="229"/>
      <c r="G24" s="11"/>
      <c r="H24" s="229">
        <v>3500</v>
      </c>
      <c r="I24" s="216" t="s">
        <v>305</v>
      </c>
    </row>
    <row r="25" spans="1:9" ht="24.75" customHeight="1">
      <c r="A25" s="15">
        <v>17</v>
      </c>
      <c r="B25" s="128" t="s">
        <v>10</v>
      </c>
      <c r="C25" s="137"/>
      <c r="D25" s="212"/>
      <c r="E25" s="137"/>
      <c r="F25" s="137"/>
      <c r="G25" s="190"/>
      <c r="H25" s="213"/>
      <c r="I25" s="219"/>
    </row>
    <row r="26" spans="1:9" ht="19.5" customHeight="1">
      <c r="A26" s="15">
        <v>18</v>
      </c>
      <c r="B26" s="21" t="s">
        <v>266</v>
      </c>
      <c r="C26" s="11"/>
      <c r="D26" s="8">
        <v>1000</v>
      </c>
      <c r="E26" s="190"/>
      <c r="F26" s="229"/>
      <c r="G26" s="11"/>
      <c r="H26" s="229">
        <v>1000</v>
      </c>
      <c r="I26" s="216" t="s">
        <v>272</v>
      </c>
    </row>
    <row r="27" spans="1:9" ht="25.5">
      <c r="A27" s="15">
        <v>19</v>
      </c>
      <c r="B27" s="21" t="s">
        <v>11</v>
      </c>
      <c r="C27" s="11"/>
      <c r="D27" s="8">
        <v>7000</v>
      </c>
      <c r="E27" s="8"/>
      <c r="F27" s="229"/>
      <c r="G27" s="11"/>
      <c r="H27" s="229">
        <v>7000</v>
      </c>
      <c r="I27" s="216" t="s">
        <v>393</v>
      </c>
    </row>
    <row r="28" spans="1:9" ht="24.75" customHeight="1">
      <c r="A28" s="15">
        <v>20</v>
      </c>
      <c r="B28" s="128" t="s">
        <v>12</v>
      </c>
      <c r="C28" s="137"/>
      <c r="D28" s="212"/>
      <c r="E28" s="137"/>
      <c r="F28" s="137"/>
      <c r="G28" s="190"/>
      <c r="H28" s="212"/>
      <c r="I28" s="219"/>
    </row>
    <row r="29" spans="1:9" ht="24.75" customHeight="1">
      <c r="A29" s="15">
        <v>21</v>
      </c>
      <c r="B29" s="21" t="s">
        <v>13</v>
      </c>
      <c r="C29" s="11"/>
      <c r="D29" s="8">
        <v>3000</v>
      </c>
      <c r="E29" s="190"/>
      <c r="F29" s="229"/>
      <c r="G29" s="11"/>
      <c r="H29" s="229">
        <v>3000</v>
      </c>
      <c r="I29" s="216" t="s">
        <v>273</v>
      </c>
    </row>
    <row r="30" spans="1:9" ht="24.75" customHeight="1">
      <c r="A30" s="15">
        <v>22</v>
      </c>
      <c r="B30" s="21" t="s">
        <v>14</v>
      </c>
      <c r="C30" s="11"/>
      <c r="D30" s="8">
        <v>40000</v>
      </c>
      <c r="E30" s="190"/>
      <c r="F30" s="229"/>
      <c r="G30" s="11"/>
      <c r="H30" s="229">
        <v>40000</v>
      </c>
      <c r="I30" s="216" t="s">
        <v>297</v>
      </c>
    </row>
    <row r="31" spans="1:9" ht="24.75" customHeight="1">
      <c r="A31" s="15">
        <v>23</v>
      </c>
      <c r="B31" s="22" t="s">
        <v>15</v>
      </c>
      <c r="C31" s="11"/>
      <c r="D31" s="8">
        <v>5000</v>
      </c>
      <c r="E31" s="8"/>
      <c r="F31" s="229"/>
      <c r="G31" s="11"/>
      <c r="H31" s="8">
        <v>5000</v>
      </c>
      <c r="I31" s="216"/>
    </row>
    <row r="32" spans="1:9" ht="24.75" customHeight="1">
      <c r="A32" s="15">
        <v>24</v>
      </c>
      <c r="B32" s="128" t="s">
        <v>16</v>
      </c>
      <c r="C32" s="137"/>
      <c r="D32" s="212"/>
      <c r="E32" s="137"/>
      <c r="F32" s="137"/>
      <c r="G32" s="190"/>
      <c r="H32" s="212"/>
      <c r="I32" s="219"/>
    </row>
    <row r="33" spans="1:10" ht="39">
      <c r="A33" s="15">
        <v>25</v>
      </c>
      <c r="B33" s="136" t="s">
        <v>17</v>
      </c>
      <c r="C33" s="11"/>
      <c r="D33" s="8">
        <v>137129</v>
      </c>
      <c r="E33" s="190"/>
      <c r="F33" s="229"/>
      <c r="G33" s="11"/>
      <c r="H33" s="229">
        <v>143985</v>
      </c>
      <c r="I33" s="216" t="s">
        <v>394</v>
      </c>
    </row>
    <row r="34" spans="1:10" ht="25.5">
      <c r="A34" s="15">
        <v>26</v>
      </c>
      <c r="B34" s="22" t="s">
        <v>18</v>
      </c>
      <c r="C34" s="12"/>
      <c r="D34" s="135">
        <v>50000</v>
      </c>
      <c r="E34" s="190"/>
      <c r="F34" s="229"/>
      <c r="G34" s="11"/>
      <c r="H34" s="229">
        <v>50000</v>
      </c>
      <c r="I34" s="216" t="s">
        <v>402</v>
      </c>
    </row>
    <row r="35" spans="1:10" ht="34.5" customHeight="1">
      <c r="A35" s="15">
        <v>27</v>
      </c>
      <c r="B35" s="22" t="s">
        <v>304</v>
      </c>
      <c r="C35" s="12"/>
      <c r="D35" s="135">
        <v>9000</v>
      </c>
      <c r="E35" s="190"/>
      <c r="F35" s="229"/>
      <c r="G35" s="11"/>
      <c r="H35" s="229">
        <v>9000</v>
      </c>
      <c r="I35" s="216" t="s">
        <v>403</v>
      </c>
    </row>
    <row r="36" spans="1:10" ht="51" customHeight="1">
      <c r="A36" s="15">
        <v>28</v>
      </c>
      <c r="B36" s="22" t="s">
        <v>280</v>
      </c>
      <c r="C36" s="12"/>
      <c r="D36" s="135">
        <v>10000</v>
      </c>
      <c r="E36" s="191"/>
      <c r="F36" s="229"/>
      <c r="G36" s="11"/>
      <c r="H36" s="229">
        <v>10000</v>
      </c>
      <c r="I36" s="216" t="s">
        <v>404</v>
      </c>
    </row>
    <row r="37" spans="1:10" ht="24.75" customHeight="1">
      <c r="A37" s="15">
        <v>29</v>
      </c>
      <c r="B37" s="138" t="s">
        <v>19</v>
      </c>
      <c r="C37" s="12"/>
      <c r="D37" s="212">
        <f>SUM(D33:D36)</f>
        <v>206129</v>
      </c>
      <c r="E37" s="157"/>
      <c r="F37" s="157">
        <f>SUM(F33:F36)</f>
        <v>0</v>
      </c>
      <c r="G37" s="12"/>
      <c r="H37" s="212">
        <f>SUM(H33:H36)</f>
        <v>212985</v>
      </c>
      <c r="I37" s="219"/>
    </row>
    <row r="38" spans="1:10" ht="15">
      <c r="A38" s="15">
        <v>30</v>
      </c>
      <c r="B38" s="128" t="s">
        <v>20</v>
      </c>
      <c r="C38" s="137"/>
      <c r="D38" s="213"/>
      <c r="E38" s="137"/>
      <c r="F38" s="137"/>
      <c r="G38" s="137"/>
      <c r="H38" s="213"/>
      <c r="I38" s="219"/>
    </row>
    <row r="39" spans="1:10">
      <c r="A39" s="15">
        <v>31</v>
      </c>
      <c r="B39" s="22" t="s">
        <v>21</v>
      </c>
      <c r="C39" s="11"/>
      <c r="D39" s="226"/>
      <c r="E39" s="190"/>
      <c r="F39" s="8"/>
      <c r="G39" s="11"/>
      <c r="H39" s="226"/>
      <c r="I39" s="221" t="s">
        <v>349</v>
      </c>
    </row>
    <row r="40" spans="1:10">
      <c r="A40" s="15">
        <v>32</v>
      </c>
      <c r="B40" s="22" t="s">
        <v>22</v>
      </c>
      <c r="C40" s="11"/>
      <c r="D40" s="226"/>
      <c r="E40" s="8"/>
      <c r="F40" s="8"/>
      <c r="G40" s="11"/>
      <c r="H40" s="226"/>
      <c r="I40" s="221" t="s">
        <v>350</v>
      </c>
    </row>
    <row r="41" spans="1:10">
      <c r="A41" s="15">
        <v>33</v>
      </c>
      <c r="B41" s="22" t="s">
        <v>23</v>
      </c>
      <c r="C41" s="11"/>
      <c r="D41" s="226"/>
      <c r="E41" s="8"/>
      <c r="F41" s="8"/>
      <c r="G41" s="11"/>
      <c r="H41" s="226"/>
      <c r="I41" s="221" t="s">
        <v>351</v>
      </c>
    </row>
    <row r="42" spans="1:10">
      <c r="A42" s="15">
        <v>34</v>
      </c>
      <c r="B42" s="22" t="s">
        <v>24</v>
      </c>
      <c r="C42" s="11"/>
      <c r="D42" s="214">
        <v>65100</v>
      </c>
      <c r="E42" s="63"/>
      <c r="F42" s="63"/>
      <c r="G42" s="11"/>
      <c r="H42" s="214">
        <v>60000</v>
      </c>
      <c r="I42" s="222"/>
    </row>
    <row r="43" spans="1:10" ht="24.75" customHeight="1" thickBot="1">
      <c r="A43" s="15">
        <v>35</v>
      </c>
      <c r="B43" s="23"/>
      <c r="C43" s="18"/>
      <c r="D43" s="226"/>
      <c r="E43" s="17"/>
      <c r="F43" s="17"/>
      <c r="G43" s="18"/>
      <c r="H43" s="226"/>
      <c r="I43" s="223"/>
      <c r="J43" s="158" t="s">
        <v>330</v>
      </c>
    </row>
    <row r="44" spans="1:10" ht="22.5" customHeight="1" thickBot="1">
      <c r="A44" s="15">
        <v>36</v>
      </c>
      <c r="B44" s="69" t="s">
        <v>25</v>
      </c>
      <c r="C44" s="70"/>
      <c r="D44" s="231">
        <f>SUM(D9:D36)-D42</f>
        <v>940629</v>
      </c>
      <c r="E44" s="127">
        <f>SUM(E9:E36)-E42</f>
        <v>0</v>
      </c>
      <c r="F44" s="127">
        <f>SUM(F9:F36)-F42</f>
        <v>0</v>
      </c>
      <c r="G44" s="70"/>
      <c r="H44" s="231">
        <f>SUM(H9:H36)-H42</f>
        <v>1000063</v>
      </c>
      <c r="I44" s="224" t="s">
        <v>26</v>
      </c>
      <c r="J44" s="268">
        <f>(H44-D44)/D44</f>
        <v>6.3185379145231535E-2</v>
      </c>
    </row>
    <row r="45" spans="1:10" ht="15" customHeight="1">
      <c r="A45" s="15">
        <v>37</v>
      </c>
      <c r="B45" s="26"/>
      <c r="C45" s="20"/>
      <c r="D45" s="226"/>
      <c r="E45" s="19"/>
      <c r="F45" s="19"/>
      <c r="G45" s="20"/>
      <c r="H45" s="226"/>
      <c r="I45" s="225"/>
    </row>
    <row r="46" spans="1:10" ht="24.75" customHeight="1">
      <c r="A46" s="15">
        <v>38</v>
      </c>
      <c r="B46" s="24" t="s">
        <v>265</v>
      </c>
      <c r="C46" s="11"/>
      <c r="D46" s="208">
        <v>224000</v>
      </c>
      <c r="E46" s="8"/>
      <c r="F46" s="208">
        <v>224000</v>
      </c>
      <c r="G46" s="11"/>
      <c r="H46" s="208">
        <v>224000</v>
      </c>
      <c r="I46" s="220"/>
    </row>
    <row r="47" spans="1:10" ht="15.75" customHeight="1" thickBot="1">
      <c r="A47" s="15">
        <v>39</v>
      </c>
      <c r="B47" s="24"/>
      <c r="C47" s="11"/>
      <c r="D47" s="211"/>
      <c r="E47" s="8"/>
      <c r="F47" s="8"/>
      <c r="G47" s="11"/>
      <c r="H47" s="211"/>
      <c r="I47" s="8"/>
    </row>
    <row r="48" spans="1:10" ht="24.75" customHeight="1" thickBot="1">
      <c r="A48" s="15">
        <v>40</v>
      </c>
      <c r="B48" s="25" t="s">
        <v>27</v>
      </c>
      <c r="C48" s="106"/>
      <c r="D48" s="230">
        <f>Carryover!C147</f>
        <v>45801.26999999996</v>
      </c>
      <c r="E48" s="293"/>
      <c r="F48" s="121">
        <f>Carryover!C147</f>
        <v>45801.26999999996</v>
      </c>
      <c r="G48" s="106"/>
      <c r="H48" s="230">
        <f>Carryover!G147</f>
        <v>0</v>
      </c>
      <c r="I48" s="112" t="s">
        <v>28</v>
      </c>
    </row>
    <row r="49" spans="1:9" ht="24.75" customHeight="1">
      <c r="A49" s="15"/>
      <c r="B49" s="21"/>
      <c r="C49" s="11"/>
      <c r="D49" s="215"/>
      <c r="E49" s="19"/>
      <c r="F49" s="19"/>
      <c r="G49" s="11"/>
      <c r="H49" s="215"/>
      <c r="I49" s="8"/>
    </row>
    <row r="50" spans="1:9" ht="6.75" customHeight="1"/>
    <row r="56" spans="1:9" ht="15">
      <c r="A56" s="1"/>
    </row>
    <row r="58" spans="1:9" ht="15">
      <c r="B58" s="1"/>
    </row>
    <row r="69" spans="2:2" ht="24.75" customHeight="1">
      <c r="B69" s="1"/>
    </row>
    <row r="70" spans="2:2" ht="29.25" customHeight="1"/>
    <row r="74" spans="2:2" ht="24" customHeight="1">
      <c r="B74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r:id="rId1"/>
  <headerFooter>
    <oddHeader>&amp;C&amp;K0000002024 Preliminary MORE Budget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L147"/>
  <sheetViews>
    <sheetView showRuler="0" topLeftCell="A3" zoomScale="83" zoomScaleNormal="83" workbookViewId="0">
      <selection activeCell="C147" sqref="C147"/>
    </sheetView>
  </sheetViews>
  <sheetFormatPr defaultColWidth="8.75" defaultRowHeight="14.25"/>
  <cols>
    <col min="1" max="1" width="5.125" customWidth="1"/>
    <col min="2" max="2" width="43.62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3" spans="1:6" ht="15">
      <c r="E3" s="155"/>
    </row>
    <row r="4" spans="1:6" ht="15">
      <c r="E4" s="155"/>
    </row>
    <row r="5" spans="1:6" ht="15">
      <c r="E5" s="155" t="s">
        <v>233</v>
      </c>
    </row>
    <row r="6" spans="1:6" ht="15">
      <c r="E6" s="155" t="s">
        <v>312</v>
      </c>
    </row>
    <row r="7" spans="1:6" ht="15">
      <c r="A7" s="1" t="s">
        <v>29</v>
      </c>
      <c r="E7" s="155" t="s">
        <v>313</v>
      </c>
    </row>
    <row r="8" spans="1:6" ht="15.75" thickBot="1">
      <c r="E8" s="155" t="s">
        <v>30</v>
      </c>
      <c r="F8" s="295" t="s">
        <v>364</v>
      </c>
    </row>
    <row r="9" spans="1:6" ht="15.75" hidden="1" thickBot="1">
      <c r="B9" s="1" t="s">
        <v>32</v>
      </c>
      <c r="C9" s="108">
        <v>490267.7</v>
      </c>
      <c r="F9" s="107">
        <v>300000</v>
      </c>
    </row>
    <row r="10" spans="1:6" hidden="1">
      <c r="B10" t="s">
        <v>33</v>
      </c>
      <c r="C10" s="109">
        <v>-300000</v>
      </c>
    </row>
    <row r="11" spans="1:6" hidden="1">
      <c r="B11" t="s">
        <v>34</v>
      </c>
      <c r="C11" s="109">
        <v>-46260</v>
      </c>
    </row>
    <row r="12" spans="1:6" hidden="1">
      <c r="B12" t="s">
        <v>35</v>
      </c>
      <c r="C12" s="109">
        <v>43000</v>
      </c>
    </row>
    <row r="13" spans="1:6" hidden="1">
      <c r="B13" t="s">
        <v>36</v>
      </c>
      <c r="C13" s="109">
        <v>18000</v>
      </c>
    </row>
    <row r="14" spans="1:6" hidden="1">
      <c r="B14" t="s">
        <v>37</v>
      </c>
      <c r="C14" s="110">
        <v>27000</v>
      </c>
    </row>
    <row r="15" spans="1:6" hidden="1">
      <c r="B15" t="s">
        <v>38</v>
      </c>
      <c r="C15" s="110">
        <v>18000</v>
      </c>
    </row>
    <row r="16" spans="1:6" hidden="1">
      <c r="B16" t="s">
        <v>39</v>
      </c>
      <c r="C16" s="110">
        <v>27000</v>
      </c>
    </row>
    <row r="17" spans="2:5" hidden="1">
      <c r="B17" t="s">
        <v>40</v>
      </c>
      <c r="C17" s="110">
        <v>-32950</v>
      </c>
    </row>
    <row r="18" spans="2:5" hidden="1">
      <c r="B18" t="s">
        <v>41</v>
      </c>
      <c r="C18" s="110">
        <v>-6544</v>
      </c>
    </row>
    <row r="19" spans="2:5" ht="15" hidden="1" thickBot="1">
      <c r="B19" t="s">
        <v>42</v>
      </c>
      <c r="C19" s="110">
        <v>30177.18</v>
      </c>
    </row>
    <row r="20" spans="2:5" ht="24.75" hidden="1" customHeight="1" thickBot="1">
      <c r="B20" s="1" t="s">
        <v>43</v>
      </c>
      <c r="C20" s="107">
        <f>SUM(C9:C19)</f>
        <v>267690.88</v>
      </c>
      <c r="E20" s="107">
        <f>C20+300000</f>
        <v>567690.88</v>
      </c>
    </row>
    <row r="21" spans="2:5" ht="29.25" hidden="1" customHeight="1">
      <c r="B21" t="s">
        <v>44</v>
      </c>
      <c r="C21" s="105">
        <v>-104250</v>
      </c>
    </row>
    <row r="22" spans="2:5" hidden="1">
      <c r="B22" t="s">
        <v>45</v>
      </c>
      <c r="C22" s="109">
        <v>-4853</v>
      </c>
    </row>
    <row r="23" spans="2:5" hidden="1">
      <c r="B23" t="s">
        <v>46</v>
      </c>
      <c r="C23" s="109">
        <v>31500</v>
      </c>
    </row>
    <row r="24" spans="2:5" hidden="1">
      <c r="B24" t="s">
        <v>47</v>
      </c>
      <c r="C24" s="109">
        <v>27000</v>
      </c>
    </row>
    <row r="25" spans="2:5" hidden="1">
      <c r="B25" t="s">
        <v>40</v>
      </c>
      <c r="C25" s="109">
        <v>-23507</v>
      </c>
    </row>
    <row r="26" spans="2:5" hidden="1">
      <c r="B26" t="s">
        <v>48</v>
      </c>
      <c r="C26" s="109">
        <v>-3029</v>
      </c>
    </row>
    <row r="27" spans="2:5" ht="15" hidden="1" thickBot="1">
      <c r="B27" t="s">
        <v>49</v>
      </c>
      <c r="C27" s="109">
        <v>-27524.5</v>
      </c>
    </row>
    <row r="28" spans="2:5" ht="24" hidden="1" customHeight="1" thickBot="1">
      <c r="B28" s="44" t="s">
        <v>50</v>
      </c>
      <c r="C28" s="107">
        <f>SUM(C20:C27)</f>
        <v>163027.38</v>
      </c>
      <c r="E28" s="107">
        <f>C28+300000</f>
        <v>463027.38</v>
      </c>
    </row>
    <row r="29" spans="2:5" ht="31.5" hidden="1" customHeight="1">
      <c r="B29" t="s">
        <v>51</v>
      </c>
      <c r="C29" s="111">
        <f>-5918-12500-1294.81-259-3500</f>
        <v>-23471.81</v>
      </c>
    </row>
    <row r="30" spans="2:5" hidden="1">
      <c r="B30" t="s">
        <v>52</v>
      </c>
      <c r="C30" s="109">
        <v>-6312</v>
      </c>
      <c r="D30" t="s">
        <v>53</v>
      </c>
    </row>
    <row r="31" spans="2:5" hidden="1">
      <c r="B31" t="s">
        <v>54</v>
      </c>
      <c r="C31" s="109">
        <v>40500</v>
      </c>
      <c r="D31" t="s">
        <v>55</v>
      </c>
    </row>
    <row r="32" spans="2:5" hidden="1">
      <c r="B32" t="s">
        <v>56</v>
      </c>
      <c r="C32" s="109">
        <v>18000</v>
      </c>
      <c r="D32" t="s">
        <v>55</v>
      </c>
    </row>
    <row r="33" spans="2:5" hidden="1">
      <c r="B33" t="s">
        <v>57</v>
      </c>
      <c r="C33" s="109">
        <v>31500</v>
      </c>
      <c r="D33" t="s">
        <v>58</v>
      </c>
      <c r="E33" s="113" t="s">
        <v>59</v>
      </c>
    </row>
    <row r="34" spans="2:5" hidden="1">
      <c r="B34" t="s">
        <v>60</v>
      </c>
      <c r="C34" s="109">
        <v>18000</v>
      </c>
      <c r="D34" t="s">
        <v>55</v>
      </c>
    </row>
    <row r="35" spans="2:5" hidden="1">
      <c r="B35" t="s">
        <v>61</v>
      </c>
      <c r="C35" s="109">
        <v>54000</v>
      </c>
      <c r="D35" t="s">
        <v>55</v>
      </c>
    </row>
    <row r="36" spans="2:5" hidden="1">
      <c r="B36" t="s">
        <v>62</v>
      </c>
      <c r="C36" s="109">
        <v>13500</v>
      </c>
      <c r="D36" t="s">
        <v>63</v>
      </c>
    </row>
    <row r="37" spans="2:5" hidden="1">
      <c r="B37" t="s">
        <v>64</v>
      </c>
      <c r="C37" s="109">
        <v>-117625</v>
      </c>
    </row>
    <row r="38" spans="2:5" hidden="1">
      <c r="B38" t="s">
        <v>40</v>
      </c>
      <c r="C38" s="109">
        <f>-18750-6750-6750-1462.5</f>
        <v>-33712.5</v>
      </c>
    </row>
    <row r="39" spans="2:5" hidden="1">
      <c r="B39" t="s">
        <v>48</v>
      </c>
      <c r="C39" s="109">
        <f>-11017.27-1150.34</f>
        <v>-12167.61</v>
      </c>
    </row>
    <row r="40" spans="2:5" hidden="1">
      <c r="B40" t="s">
        <v>65</v>
      </c>
      <c r="C40" s="109">
        <v>-3376.25</v>
      </c>
    </row>
    <row r="41" spans="2:5" hidden="1">
      <c r="B41" t="s">
        <v>66</v>
      </c>
      <c r="C41" s="109">
        <v>-11625</v>
      </c>
    </row>
    <row r="42" spans="2:5" ht="15" hidden="1" thickBot="1">
      <c r="B42" t="s">
        <v>67</v>
      </c>
      <c r="C42">
        <v>3240.49</v>
      </c>
    </row>
    <row r="43" spans="2:5" ht="30.75" hidden="1" customHeight="1" thickBot="1">
      <c r="B43" s="44" t="s">
        <v>68</v>
      </c>
      <c r="C43" s="107">
        <f>SUM(C28:C42)</f>
        <v>133477.70000000001</v>
      </c>
      <c r="E43" s="107">
        <f>C43+300000</f>
        <v>433477.7</v>
      </c>
    </row>
    <row r="44" spans="2:5" ht="29.25" hidden="1" customHeight="1">
      <c r="B44" t="s">
        <v>69</v>
      </c>
      <c r="C44" s="111">
        <f>-13125-79875-9000</f>
        <v>-102000</v>
      </c>
    </row>
    <row r="45" spans="2:5" hidden="1">
      <c r="B45" t="s">
        <v>70</v>
      </c>
      <c r="C45" s="109">
        <v>-18286.02</v>
      </c>
    </row>
    <row r="46" spans="2:5" hidden="1">
      <c r="B46" t="s">
        <v>71</v>
      </c>
      <c r="C46" s="109">
        <v>-3623.75</v>
      </c>
    </row>
    <row r="47" spans="2:5" hidden="1">
      <c r="B47" t="s">
        <v>72</v>
      </c>
      <c r="C47" s="109">
        <v>88678</v>
      </c>
    </row>
    <row r="48" spans="2:5" hidden="1">
      <c r="B48" t="s">
        <v>73</v>
      </c>
      <c r="C48" s="109">
        <v>-20825</v>
      </c>
    </row>
    <row r="49" spans="2:6" hidden="1">
      <c r="B49" t="s">
        <v>74</v>
      </c>
      <c r="C49" s="109">
        <v>-2125</v>
      </c>
    </row>
    <row r="50" spans="2:6" hidden="1">
      <c r="B50" t="s">
        <v>75</v>
      </c>
      <c r="C50" s="109">
        <v>-877.94</v>
      </c>
    </row>
    <row r="51" spans="2:6" hidden="1">
      <c r="B51" t="s">
        <v>76</v>
      </c>
      <c r="C51" s="109">
        <v>-3000</v>
      </c>
    </row>
    <row r="52" spans="2:6" hidden="1">
      <c r="B52" t="s">
        <v>77</v>
      </c>
      <c r="C52" s="109">
        <v>-15000</v>
      </c>
    </row>
    <row r="53" spans="2:6" ht="15" hidden="1" thickBot="1">
      <c r="B53" t="s">
        <v>78</v>
      </c>
      <c r="C53" s="109">
        <v>11626.97</v>
      </c>
    </row>
    <row r="54" spans="2:6" ht="30.75" hidden="1" customHeight="1" thickBot="1">
      <c r="B54" s="44" t="s">
        <v>79</v>
      </c>
      <c r="C54" s="107">
        <f>SUM(C43:C53)</f>
        <v>68044.960000000006</v>
      </c>
      <c r="E54" s="107">
        <f>C54+300000</f>
        <v>368044.96</v>
      </c>
      <c r="F54" s="107">
        <v>300000</v>
      </c>
    </row>
    <row r="55" spans="2:6" ht="28.5" hidden="1" customHeight="1">
      <c r="B55" t="s">
        <v>80</v>
      </c>
      <c r="C55" s="111">
        <v>-40850</v>
      </c>
    </row>
    <row r="56" spans="2:6" hidden="1">
      <c r="B56" t="s">
        <v>72</v>
      </c>
      <c r="C56" s="109">
        <v>30678</v>
      </c>
    </row>
    <row r="57" spans="2:6" hidden="1">
      <c r="B57" t="s">
        <v>81</v>
      </c>
      <c r="C57" s="109">
        <v>13500</v>
      </c>
    </row>
    <row r="58" spans="2:6" hidden="1">
      <c r="B58" t="s">
        <v>82</v>
      </c>
      <c r="C58" s="132">
        <v>-4950</v>
      </c>
    </row>
    <row r="59" spans="2:6" ht="15" hidden="1" thickBot="1">
      <c r="B59" t="s">
        <v>83</v>
      </c>
      <c r="C59" s="132">
        <v>5394.93</v>
      </c>
      <c r="F59" s="158" t="s">
        <v>31</v>
      </c>
    </row>
    <row r="60" spans="2:6" ht="30.75" hidden="1" customHeight="1" thickBot="1">
      <c r="B60" s="44" t="s">
        <v>84</v>
      </c>
      <c r="C60" s="107">
        <f>SUM(C54:C59)</f>
        <v>71817.890000000014</v>
      </c>
      <c r="E60" s="107">
        <f>C60+300000</f>
        <v>371817.89</v>
      </c>
      <c r="F60" s="107">
        <v>300000</v>
      </c>
    </row>
    <row r="61" spans="2:6" ht="27.75" hidden="1" customHeight="1"/>
    <row r="62" spans="2:6" hidden="1">
      <c r="B62" t="s">
        <v>85</v>
      </c>
      <c r="C62" s="111">
        <v>-14000</v>
      </c>
    </row>
    <row r="63" spans="2:6" hidden="1">
      <c r="B63" t="s">
        <v>86</v>
      </c>
      <c r="C63" s="105">
        <v>27000</v>
      </c>
    </row>
    <row r="64" spans="2:6" hidden="1">
      <c r="B64" t="s">
        <v>87</v>
      </c>
      <c r="C64" s="105">
        <v>36000</v>
      </c>
    </row>
    <row r="65" spans="2:6" hidden="1">
      <c r="B65" t="s">
        <v>88</v>
      </c>
      <c r="C65" s="105">
        <v>-7500</v>
      </c>
    </row>
    <row r="66" spans="2:6" hidden="1">
      <c r="B66" t="s">
        <v>89</v>
      </c>
      <c r="C66" s="105">
        <v>-7500</v>
      </c>
    </row>
    <row r="67" spans="2:6" hidden="1">
      <c r="B67" t="s">
        <v>90</v>
      </c>
      <c r="C67" s="109">
        <v>-944</v>
      </c>
    </row>
    <row r="68" spans="2:6" ht="15" hidden="1" thickBot="1">
      <c r="B68" s="159" t="s">
        <v>91</v>
      </c>
      <c r="C68" s="148">
        <v>-25401.83</v>
      </c>
      <c r="E68" s="149"/>
      <c r="F68" s="158" t="s">
        <v>31</v>
      </c>
    </row>
    <row r="69" spans="2:6" ht="30.75" hidden="1" customHeight="1" thickBot="1">
      <c r="B69" s="44" t="s">
        <v>260</v>
      </c>
      <c r="C69" s="107">
        <f>E60-F60+SUM(C62:C68)</f>
        <v>79472.060000000012</v>
      </c>
      <c r="E69" s="107">
        <f>C69+298509</f>
        <v>377981.06</v>
      </c>
      <c r="F69" s="107">
        <v>280317</v>
      </c>
    </row>
    <row r="70" spans="2:6" ht="27.75" hidden="1" customHeight="1"/>
    <row r="71" spans="2:6" hidden="1">
      <c r="B71" t="s">
        <v>92</v>
      </c>
      <c r="C71" s="111">
        <v>0</v>
      </c>
    </row>
    <row r="72" spans="2:6" hidden="1">
      <c r="B72" t="s">
        <v>93</v>
      </c>
      <c r="C72" s="105">
        <v>12000</v>
      </c>
    </row>
    <row r="73" spans="2:6" hidden="1">
      <c r="B73" t="s">
        <v>94</v>
      </c>
      <c r="C73" s="109">
        <v>-6496</v>
      </c>
    </row>
    <row r="74" spans="2:6" hidden="1">
      <c r="B74" s="159" t="s">
        <v>95</v>
      </c>
      <c r="C74" s="109">
        <v>-11596</v>
      </c>
      <c r="E74" s="149"/>
      <c r="F74" s="158"/>
    </row>
    <row r="75" spans="2:6" ht="15" hidden="1" thickBot="1">
      <c r="B75" s="159" t="s">
        <v>96</v>
      </c>
      <c r="C75" s="109">
        <f>19783.51-4975</f>
        <v>14808.509999999998</v>
      </c>
      <c r="E75" s="149"/>
      <c r="F75" s="158" t="s">
        <v>31</v>
      </c>
    </row>
    <row r="76" spans="2:6" ht="30.75" hidden="1" customHeight="1" thickBot="1">
      <c r="B76" s="44" t="s">
        <v>261</v>
      </c>
      <c r="C76" s="107">
        <f>E69-F69+SUM(C71:C75)</f>
        <v>106380.56999999999</v>
      </c>
      <c r="E76" s="107">
        <f>C76+F76</f>
        <v>306380.57</v>
      </c>
      <c r="F76" s="107">
        <v>200000</v>
      </c>
    </row>
    <row r="77" spans="2:6" ht="27.75" hidden="1" customHeight="1"/>
    <row r="78" spans="2:6" hidden="1">
      <c r="B78" t="s">
        <v>97</v>
      </c>
      <c r="C78" s="111">
        <v>-29950</v>
      </c>
    </row>
    <row r="79" spans="2:6" hidden="1">
      <c r="B79" t="s">
        <v>93</v>
      </c>
      <c r="C79" s="105">
        <v>6000</v>
      </c>
    </row>
    <row r="80" spans="2:6" hidden="1">
      <c r="B80" t="s">
        <v>98</v>
      </c>
      <c r="C80" s="109">
        <v>0</v>
      </c>
    </row>
    <row r="81" spans="2:6" ht="15" hidden="1" thickBot="1">
      <c r="B81" t="s">
        <v>255</v>
      </c>
      <c r="C81" s="109">
        <v>33048.75</v>
      </c>
      <c r="E81" s="149"/>
      <c r="F81" s="158" t="s">
        <v>31</v>
      </c>
    </row>
    <row r="82" spans="2:6" ht="30.75" hidden="1" customHeight="1" thickBot="1">
      <c r="B82" s="44" t="s">
        <v>262</v>
      </c>
      <c r="C82" s="107">
        <f>SUM(C76:C81)</f>
        <v>115479.31999999999</v>
      </c>
      <c r="E82" s="107">
        <f>C82+F82</f>
        <v>315479.32</v>
      </c>
      <c r="F82" s="107">
        <v>200000</v>
      </c>
    </row>
    <row r="83" spans="2:6" ht="27.75" hidden="1" customHeight="1"/>
    <row r="84" spans="2:6" hidden="1">
      <c r="B84" s="199" t="s">
        <v>258</v>
      </c>
      <c r="C84" s="111">
        <v>-32500</v>
      </c>
    </row>
    <row r="85" spans="2:6" hidden="1">
      <c r="B85" s="199" t="s">
        <v>259</v>
      </c>
      <c r="C85" s="200">
        <v>-2300.44</v>
      </c>
    </row>
    <row r="86" spans="2:6" hidden="1">
      <c r="B86" t="s">
        <v>263</v>
      </c>
      <c r="C86" s="200">
        <f>-12000+0</f>
        <v>-12000</v>
      </c>
    </row>
    <row r="87" spans="2:6" hidden="1">
      <c r="B87" t="s">
        <v>257</v>
      </c>
      <c r="C87" s="105">
        <v>0</v>
      </c>
    </row>
    <row r="88" spans="2:6" hidden="1">
      <c r="B88" s="159" t="s">
        <v>99</v>
      </c>
      <c r="C88" s="109">
        <v>0</v>
      </c>
    </row>
    <row r="89" spans="2:6" hidden="1">
      <c r="B89" t="s">
        <v>277</v>
      </c>
      <c r="C89" s="109">
        <f>76561.19-68678.88</f>
        <v>7882.3099999999977</v>
      </c>
    </row>
    <row r="90" spans="2:6" ht="15" hidden="1" thickBot="1">
      <c r="B90" s="159"/>
      <c r="C90" s="109">
        <v>0</v>
      </c>
      <c r="E90" s="149"/>
      <c r="F90" s="158" t="s">
        <v>31</v>
      </c>
    </row>
    <row r="91" spans="2:6" ht="30.75" hidden="1" customHeight="1" thickBot="1">
      <c r="B91" s="44" t="s">
        <v>287</v>
      </c>
      <c r="C91" s="107">
        <f>SUM(C82:C90)</f>
        <v>76561.189999999988</v>
      </c>
      <c r="E91" s="107">
        <f>C91+F91</f>
        <v>300561.19</v>
      </c>
      <c r="F91" s="107">
        <v>224000</v>
      </c>
    </row>
    <row r="92" spans="2:6" ht="27.75" hidden="1" customHeight="1"/>
    <row r="93" spans="2:6" hidden="1">
      <c r="B93" t="s">
        <v>256</v>
      </c>
      <c r="C93" s="111">
        <v>-15000</v>
      </c>
    </row>
    <row r="94" spans="2:6" hidden="1">
      <c r="B94" s="159" t="s">
        <v>293</v>
      </c>
      <c r="C94" s="111">
        <v>-26950</v>
      </c>
    </row>
    <row r="95" spans="2:6" hidden="1">
      <c r="C95" s="109">
        <v>0</v>
      </c>
    </row>
    <row r="96" spans="2:6" ht="15" hidden="1" thickBot="1">
      <c r="B96" t="s">
        <v>282</v>
      </c>
      <c r="C96" s="109">
        <v>35676.6</v>
      </c>
      <c r="E96" s="149"/>
      <c r="F96" s="158" t="s">
        <v>31</v>
      </c>
    </row>
    <row r="97" spans="2:6" ht="30.75" hidden="1" customHeight="1" thickBot="1">
      <c r="B97" s="44" t="s">
        <v>288</v>
      </c>
      <c r="C97" s="107">
        <f>SUM(C91:C96)</f>
        <v>70287.789999999979</v>
      </c>
      <c r="E97" s="107">
        <f>C97+F97</f>
        <v>294287.78999999998</v>
      </c>
      <c r="F97" s="107">
        <v>224000</v>
      </c>
    </row>
    <row r="98" spans="2:6" ht="27.75" hidden="1" customHeight="1"/>
    <row r="99" spans="2:6" hidden="1">
      <c r="B99" s="159" t="s">
        <v>286</v>
      </c>
      <c r="C99" s="111">
        <v>0</v>
      </c>
    </row>
    <row r="100" spans="2:6" hidden="1">
      <c r="B100" s="159" t="s">
        <v>290</v>
      </c>
      <c r="C100" s="109">
        <v>-7356.78</v>
      </c>
    </row>
    <row r="101" spans="2:6" ht="15" hidden="1" thickBot="1">
      <c r="B101" s="159"/>
      <c r="C101" s="109">
        <v>0</v>
      </c>
      <c r="E101" s="149"/>
      <c r="F101" s="158" t="s">
        <v>31</v>
      </c>
    </row>
    <row r="102" spans="2:6" ht="30" hidden="1" customHeight="1" thickBot="1">
      <c r="B102" s="44" t="s">
        <v>289</v>
      </c>
      <c r="C102" s="107">
        <f>SUM(C97:C101)</f>
        <v>62931.00999999998</v>
      </c>
      <c r="E102" s="107">
        <f>C102+F102</f>
        <v>286931.01</v>
      </c>
      <c r="F102" s="107">
        <v>224000</v>
      </c>
    </row>
    <row r="103" spans="2:6" ht="27.75" hidden="1" customHeight="1"/>
    <row r="104" spans="2:6" hidden="1">
      <c r="B104" s="159" t="s">
        <v>291</v>
      </c>
      <c r="C104" s="241">
        <v>0</v>
      </c>
    </row>
    <row r="105" spans="2:6" hidden="1">
      <c r="B105" s="159" t="s">
        <v>301</v>
      </c>
      <c r="C105" s="111">
        <v>0</v>
      </c>
      <c r="F105" s="227">
        <v>35990</v>
      </c>
    </row>
    <row r="106" spans="2:6" hidden="1">
      <c r="B106" s="159" t="s">
        <v>292</v>
      </c>
      <c r="C106" s="109">
        <v>25924.240000000002</v>
      </c>
    </row>
    <row r="107" spans="2:6" ht="15" hidden="1" thickBot="1">
      <c r="B107" s="159"/>
      <c r="C107" s="109">
        <v>0</v>
      </c>
      <c r="E107" s="149"/>
      <c r="F107" s="158" t="s">
        <v>31</v>
      </c>
    </row>
    <row r="108" spans="2:6" ht="30.75" hidden="1" customHeight="1" thickBot="1">
      <c r="B108" s="44" t="s">
        <v>299</v>
      </c>
      <c r="C108" s="107">
        <f>SUM(C102:C107)</f>
        <v>88855.249999999985</v>
      </c>
      <c r="E108" s="107">
        <f>C108+F108</f>
        <v>348845.25</v>
      </c>
      <c r="F108" s="107">
        <f>224000+35990</f>
        <v>259990</v>
      </c>
    </row>
    <row r="109" spans="2:6" ht="27" hidden="1" customHeight="1"/>
    <row r="110" spans="2:6" hidden="1">
      <c r="B110" s="159" t="s">
        <v>294</v>
      </c>
      <c r="C110" s="111">
        <v>35990</v>
      </c>
    </row>
    <row r="111" spans="2:6" hidden="1">
      <c r="B111" s="159" t="s">
        <v>300</v>
      </c>
      <c r="C111" s="111">
        <v>0</v>
      </c>
    </row>
    <row r="112" spans="2:6" hidden="1">
      <c r="B112" s="159" t="s">
        <v>295</v>
      </c>
      <c r="C112" s="109">
        <v>28913.82</v>
      </c>
    </row>
    <row r="113" spans="2:6" ht="15" hidden="1" thickBot="1">
      <c r="B113" s="159"/>
      <c r="C113" s="109">
        <v>0</v>
      </c>
      <c r="E113" s="149"/>
      <c r="F113" s="158" t="s">
        <v>31</v>
      </c>
    </row>
    <row r="114" spans="2:6" ht="30.75" hidden="1" customHeight="1" thickBot="1">
      <c r="B114" s="44" t="s">
        <v>327</v>
      </c>
      <c r="C114" s="256">
        <f>SUM(C108:C113)</f>
        <v>153759.06999999998</v>
      </c>
      <c r="E114" s="257">
        <f>C114+F114</f>
        <v>377759.06999999995</v>
      </c>
      <c r="F114" s="256">
        <v>224000</v>
      </c>
    </row>
    <row r="115" spans="2:6" ht="27" hidden="1" customHeight="1"/>
    <row r="116" spans="2:6" hidden="1">
      <c r="B116" s="159" t="s">
        <v>357</v>
      </c>
      <c r="C116" s="111">
        <v>-20500</v>
      </c>
    </row>
    <row r="117" spans="2:6" hidden="1">
      <c r="B117" s="159" t="s">
        <v>322</v>
      </c>
      <c r="C117" s="111">
        <v>-2500</v>
      </c>
    </row>
    <row r="118" spans="2:6" hidden="1">
      <c r="B118" s="159" t="s">
        <v>321</v>
      </c>
      <c r="C118" s="109">
        <v>-17948.490000000002</v>
      </c>
    </row>
    <row r="119" spans="2:6" ht="15" hidden="1" thickBot="1">
      <c r="B119" s="159"/>
      <c r="C119" s="109">
        <v>0</v>
      </c>
      <c r="E119" s="149"/>
      <c r="F119" s="158" t="s">
        <v>31</v>
      </c>
    </row>
    <row r="120" spans="2:6" ht="30.75" hidden="1" customHeight="1" thickBot="1">
      <c r="B120" s="44" t="s">
        <v>326</v>
      </c>
      <c r="C120" s="258">
        <f>SUM(C114:C119)</f>
        <v>112810.57999999997</v>
      </c>
      <c r="E120" s="259">
        <f>C120+F120</f>
        <v>336810.57999999996</v>
      </c>
      <c r="F120" s="258">
        <v>224000</v>
      </c>
    </row>
    <row r="121" spans="2:6" hidden="1"/>
    <row r="122" spans="2:6" hidden="1">
      <c r="B122" s="159" t="s">
        <v>325</v>
      </c>
      <c r="C122" s="111">
        <v>-65000</v>
      </c>
    </row>
    <row r="123" spans="2:6" hidden="1">
      <c r="B123" s="159" t="s">
        <v>306</v>
      </c>
      <c r="C123" s="111"/>
    </row>
    <row r="124" spans="2:6" hidden="1">
      <c r="B124" s="159" t="s">
        <v>307</v>
      </c>
      <c r="C124" s="109">
        <v>102937.97</v>
      </c>
    </row>
    <row r="125" spans="2:6" ht="15" hidden="1" thickBot="1">
      <c r="B125" s="159"/>
      <c r="C125" s="109">
        <v>0</v>
      </c>
      <c r="E125" s="149"/>
      <c r="F125" s="158" t="s">
        <v>31</v>
      </c>
    </row>
    <row r="126" spans="2:6" ht="30" customHeight="1" thickBot="1">
      <c r="B126" s="44" t="s">
        <v>360</v>
      </c>
      <c r="C126" s="262">
        <f>SUM(C120:C125)</f>
        <v>150748.54999999999</v>
      </c>
      <c r="E126" s="289">
        <f>C126+F126</f>
        <v>374748.55</v>
      </c>
      <c r="F126" s="262">
        <v>224000</v>
      </c>
    </row>
    <row r="128" spans="2:6">
      <c r="B128" s="159" t="s">
        <v>324</v>
      </c>
      <c r="C128" s="111">
        <v>-65000</v>
      </c>
    </row>
    <row r="129" spans="2:12">
      <c r="B129" s="159" t="s">
        <v>319</v>
      </c>
      <c r="C129" s="111">
        <f>'2024 Preliminary budget'!E42*-1</f>
        <v>0</v>
      </c>
    </row>
    <row r="130" spans="2:12">
      <c r="B130" s="159" t="s">
        <v>354</v>
      </c>
      <c r="C130" s="111">
        <v>76033.48</v>
      </c>
    </row>
    <row r="131" spans="2:12">
      <c r="B131" s="159" t="s">
        <v>320</v>
      </c>
      <c r="C131" s="109">
        <f>399901.27-390782.03</f>
        <v>9119.2399999999907</v>
      </c>
    </row>
    <row r="132" spans="2:12" ht="15" thickBot="1">
      <c r="B132" s="159"/>
      <c r="C132" s="109">
        <v>0</v>
      </c>
      <c r="E132" s="294" t="s">
        <v>363</v>
      </c>
      <c r="F132" s="295" t="s">
        <v>364</v>
      </c>
      <c r="L132" s="159" t="s">
        <v>399</v>
      </c>
    </row>
    <row r="133" spans="2:12" ht="30" customHeight="1" thickBot="1">
      <c r="B133" s="44" t="s">
        <v>361</v>
      </c>
      <c r="C133" s="262">
        <f>SUM(C126:C132)</f>
        <v>170901.26999999996</v>
      </c>
      <c r="E133" s="289">
        <f>C133+F133</f>
        <v>394901.26999999996</v>
      </c>
      <c r="F133" s="262">
        <v>224000</v>
      </c>
    </row>
    <row r="135" spans="2:12">
      <c r="B135" s="159" t="s">
        <v>323</v>
      </c>
      <c r="C135" s="111">
        <v>-60000</v>
      </c>
    </row>
    <row r="136" spans="2:12">
      <c r="B136" s="159" t="s">
        <v>355</v>
      </c>
      <c r="C136" s="111">
        <f>'2024 Preliminary budget'!E49*-1</f>
        <v>0</v>
      </c>
    </row>
    <row r="137" spans="2:12">
      <c r="B137" s="159" t="s">
        <v>356</v>
      </c>
      <c r="C137" s="111">
        <v>0</v>
      </c>
    </row>
    <row r="138" spans="2:12" ht="15">
      <c r="B138" s="159" t="s">
        <v>353</v>
      </c>
      <c r="C138" s="309"/>
    </row>
    <row r="139" spans="2:12" ht="15" thickBot="1">
      <c r="B139" s="159"/>
      <c r="C139" s="109">
        <v>0</v>
      </c>
      <c r="E139" s="294" t="s">
        <v>363</v>
      </c>
      <c r="F139" s="295" t="s">
        <v>364</v>
      </c>
    </row>
    <row r="140" spans="2:12" ht="30" customHeight="1" thickBot="1">
      <c r="B140" s="44" t="s">
        <v>396</v>
      </c>
      <c r="C140" s="260">
        <f>SUM(C133:C139)</f>
        <v>110901.26999999996</v>
      </c>
      <c r="E140" s="261">
        <f>C140+F140</f>
        <v>334901.26999999996</v>
      </c>
      <c r="F140" s="260">
        <v>224000</v>
      </c>
    </row>
    <row r="142" spans="2:12">
      <c r="B142" s="159" t="s">
        <v>352</v>
      </c>
      <c r="C142" s="111">
        <v>-65100</v>
      </c>
    </row>
    <row r="143" spans="2:12">
      <c r="B143" s="159" t="s">
        <v>358</v>
      </c>
      <c r="C143" s="111">
        <f>'2024 Preliminary budget'!E56*-1</f>
        <v>0</v>
      </c>
    </row>
    <row r="144" spans="2:12">
      <c r="B144" s="159" t="s">
        <v>356</v>
      </c>
      <c r="C144" s="111">
        <v>0</v>
      </c>
    </row>
    <row r="145" spans="2:6" ht="15">
      <c r="B145" s="159" t="s">
        <v>359</v>
      </c>
      <c r="C145" s="108">
        <v>0</v>
      </c>
    </row>
    <row r="146" spans="2:6" ht="15" thickBot="1">
      <c r="B146" s="159"/>
      <c r="C146" s="109">
        <v>0</v>
      </c>
      <c r="E146" s="294" t="s">
        <v>363</v>
      </c>
      <c r="F146" s="295" t="s">
        <v>364</v>
      </c>
    </row>
    <row r="147" spans="2:6" ht="30.75" customHeight="1" thickBot="1">
      <c r="B147" s="44" t="s">
        <v>362</v>
      </c>
      <c r="C147" s="260">
        <f>SUM(C140:C146)</f>
        <v>45801.26999999996</v>
      </c>
      <c r="E147" s="261">
        <f>C147+F147</f>
        <v>269801.26999999996</v>
      </c>
      <c r="F147" s="260">
        <v>224000</v>
      </c>
    </row>
  </sheetData>
  <phoneticPr fontId="0" type="noConversion"/>
  <printOptions horizontalCentered="1"/>
  <pageMargins left="0.36" right="0.35" top="0.98" bottom="0.6" header="0.47" footer="0.46"/>
  <pageSetup scale="91" orientation="portrait" horizontalDpi="4294967292" verticalDpi="4294967292" r:id="rId1"/>
  <headerFooter>
    <oddHeader>&amp;C2024 Preliminary MORE Budget: Carryover Not Updated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102"/>
  <sheetViews>
    <sheetView showRuler="0"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44.375" bestFit="1" customWidth="1"/>
    <col min="4" max="4" width="12.625" customWidth="1"/>
    <col min="5" max="5" width="18.375" bestFit="1" customWidth="1"/>
    <col min="6" max="7" width="10.375" customWidth="1"/>
    <col min="8" max="8" width="10.875" customWidth="1"/>
    <col min="9" max="9" width="10.875" hidden="1" customWidth="1"/>
    <col min="10" max="11" width="10.625" customWidth="1"/>
  </cols>
  <sheetData>
    <row r="1" spans="1:12" ht="15">
      <c r="A1" s="1" t="s">
        <v>370</v>
      </c>
    </row>
    <row r="2" spans="1:12">
      <c r="A2" s="54" t="s">
        <v>405</v>
      </c>
    </row>
    <row r="3" spans="1:12" ht="15" thickBot="1">
      <c r="A3" s="311">
        <v>45064</v>
      </c>
      <c r="B3" s="311"/>
      <c r="C3" s="311"/>
    </row>
    <row r="4" spans="1:12" ht="15.75" thickBot="1">
      <c r="C4" s="56" t="s">
        <v>371</v>
      </c>
      <c r="D4" s="65">
        <f>'2024 Preliminary budget'!H44</f>
        <v>1000063</v>
      </c>
      <c r="E4" s="67"/>
      <c r="F4" s="68"/>
      <c r="G4" s="68"/>
    </row>
    <row r="5" spans="1:12" ht="15.75" thickBot="1">
      <c r="C5" s="56" t="s">
        <v>372</v>
      </c>
      <c r="D5" s="65">
        <f>'MORE Formula w 3-yr Avg ''20-''22'!F5</f>
        <v>34918</v>
      </c>
      <c r="E5" s="67"/>
      <c r="F5" s="68"/>
      <c r="G5" s="68"/>
    </row>
    <row r="6" spans="1:12" ht="15.75" thickBot="1">
      <c r="C6" s="56" t="s">
        <v>373</v>
      </c>
      <c r="D6" s="65">
        <f>D4-D5</f>
        <v>965145</v>
      </c>
      <c r="E6" s="67"/>
      <c r="F6" s="68"/>
      <c r="G6" s="68"/>
      <c r="J6" s="310"/>
      <c r="K6" s="310"/>
    </row>
    <row r="7" spans="1:12" ht="15">
      <c r="B7" s="104" t="s">
        <v>374</v>
      </c>
      <c r="C7" s="104"/>
      <c r="D7" s="58"/>
      <c r="E7" s="209">
        <f>'MORE Formula w 3-yr Avg ''20-''22'!M2</f>
        <v>1750</v>
      </c>
      <c r="F7" s="209"/>
      <c r="H7" s="59"/>
      <c r="J7" s="310" t="s">
        <v>100</v>
      </c>
      <c r="K7" s="310"/>
    </row>
    <row r="8" spans="1:12" ht="15" thickBot="1">
      <c r="B8" s="104" t="s">
        <v>375</v>
      </c>
      <c r="C8" s="104"/>
      <c r="D8" s="58"/>
      <c r="E8" s="209">
        <f>'MORE Formula w 3-yr Avg ''20-''22'!M3</f>
        <v>10000</v>
      </c>
      <c r="H8" s="59"/>
      <c r="J8" s="142" t="s">
        <v>101</v>
      </c>
      <c r="K8" s="142" t="s">
        <v>102</v>
      </c>
    </row>
    <row r="9" spans="1:12" ht="26.25" customHeight="1" thickBot="1">
      <c r="A9" s="104" t="s">
        <v>103</v>
      </c>
      <c r="C9" s="57"/>
      <c r="D9" s="58"/>
      <c r="E9" s="59"/>
      <c r="F9" s="59"/>
      <c r="G9" s="59"/>
      <c r="J9" s="141">
        <f>'MORE Formula w 3-yr Avg ''20-''22'!H5</f>
        <v>212985</v>
      </c>
      <c r="K9" s="141">
        <f>D6-J9</f>
        <v>752160</v>
      </c>
    </row>
    <row r="10" spans="1:12" ht="63" customHeight="1" thickBot="1">
      <c r="A10" s="55" t="s">
        <v>104</v>
      </c>
      <c r="B10" s="64"/>
      <c r="C10" s="160" t="s">
        <v>105</v>
      </c>
      <c r="D10" s="150" t="s">
        <v>274</v>
      </c>
      <c r="E10" s="161" t="s">
        <v>275</v>
      </c>
      <c r="F10" s="162" t="s">
        <v>283</v>
      </c>
      <c r="G10" s="250" t="s">
        <v>317</v>
      </c>
      <c r="H10" s="147" t="s">
        <v>378</v>
      </c>
      <c r="I10" s="161" t="s">
        <v>106</v>
      </c>
      <c r="J10" s="150" t="s">
        <v>379</v>
      </c>
      <c r="K10" s="151" t="s">
        <v>380</v>
      </c>
    </row>
    <row r="11" spans="1:12" ht="16.350000000000001" customHeight="1">
      <c r="A11" s="124">
        <v>1</v>
      </c>
      <c r="B11" s="49"/>
      <c r="C11" s="163" t="s">
        <v>107</v>
      </c>
      <c r="D11" s="164">
        <f>'MORE Formula w 3-yr Avg ''20-''22'!K9</f>
        <v>4.0442201111876012E-2</v>
      </c>
      <c r="E11" s="165">
        <f>($D$6*D11)</f>
        <v>39032.588192121577</v>
      </c>
      <c r="F11" s="166">
        <f t="shared" ref="F11:F16" si="0">IF(E11&lt;($E$7*2),E11/2,$E$7)</f>
        <v>1750</v>
      </c>
      <c r="G11" s="168"/>
      <c r="H11" s="167">
        <f>E11-F11-G11</f>
        <v>37282.588192121577</v>
      </c>
      <c r="I11" s="168">
        <f>ROUND(D11*1000,0)</f>
        <v>40</v>
      </c>
      <c r="J11" s="169">
        <f>ROUND($J$9*D11,0)</f>
        <v>8614</v>
      </c>
      <c r="K11" s="169">
        <f>H11-J11</f>
        <v>28668.588192121577</v>
      </c>
      <c r="L11" t="s">
        <v>254</v>
      </c>
    </row>
    <row r="12" spans="1:12" ht="16.350000000000001" customHeight="1">
      <c r="A12" s="125">
        <v>2</v>
      </c>
      <c r="B12" s="48"/>
      <c r="C12" s="170" t="s">
        <v>108</v>
      </c>
      <c r="D12" s="164">
        <f>'MORE Formula w 3-yr Avg ''20-''22'!K12</f>
        <v>1.7240603150500831E-2</v>
      </c>
      <c r="E12" s="42">
        <f t="shared" ref="E12:E62" si="1">($D$6*D12)</f>
        <v>16639.681927690126</v>
      </c>
      <c r="F12" s="278">
        <f t="shared" si="0"/>
        <v>1750</v>
      </c>
      <c r="G12" s="251"/>
      <c r="H12" s="171">
        <f>E12-F12-G12</f>
        <v>14889.681927690126</v>
      </c>
      <c r="I12" s="143">
        <f t="shared" ref="I12:I57" si="2">ROUND(D12*1000,0)</f>
        <v>17</v>
      </c>
      <c r="J12" s="42">
        <f>ROUND($J$9*D12,0)</f>
        <v>3672</v>
      </c>
      <c r="K12" s="42">
        <f>H12-J12</f>
        <v>11217.681927690126</v>
      </c>
      <c r="L12" t="s">
        <v>254</v>
      </c>
    </row>
    <row r="13" spans="1:12" ht="16.350000000000001" customHeight="1">
      <c r="A13" s="125">
        <v>3</v>
      </c>
      <c r="B13" s="48"/>
      <c r="C13" s="170" t="s">
        <v>109</v>
      </c>
      <c r="D13" s="164">
        <f>'MORE Formula w 3-yr Avg ''20-''22'!K13</f>
        <v>8.0057399549523806E-3</v>
      </c>
      <c r="E13" s="42">
        <f t="shared" si="1"/>
        <v>7726.6998888225153</v>
      </c>
      <c r="F13" s="278">
        <f t="shared" si="0"/>
        <v>1750</v>
      </c>
      <c r="G13" s="251"/>
      <c r="H13" s="171">
        <f t="shared" ref="H13:H62" si="3">E13-F13-G13</f>
        <v>5976.6998888225153</v>
      </c>
      <c r="I13" s="143">
        <f t="shared" si="2"/>
        <v>8</v>
      </c>
      <c r="J13" s="42">
        <f t="shared" ref="J13:J62" si="4">ROUND($J$9*D13,0)</f>
        <v>1705</v>
      </c>
      <c r="K13" s="42">
        <f t="shared" ref="K13:K62" si="5">H13-J13</f>
        <v>4271.6998888225153</v>
      </c>
      <c r="L13" t="s">
        <v>254</v>
      </c>
    </row>
    <row r="14" spans="1:12" ht="16.350000000000001" customHeight="1">
      <c r="A14" s="125">
        <v>4</v>
      </c>
      <c r="B14" s="48"/>
      <c r="C14" s="170" t="s">
        <v>342</v>
      </c>
      <c r="D14" s="164">
        <f>'MORE Formula w 3-yr Avg ''20-''22'!K27</f>
        <v>5.5386417631798175E-3</v>
      </c>
      <c r="E14" s="42">
        <f>($D$6*D14)</f>
        <v>5345.5924045241845</v>
      </c>
      <c r="F14" s="278">
        <f>'MORE Formula w 3-yr Avg ''20-''22'!M27</f>
        <v>0</v>
      </c>
      <c r="G14" s="251"/>
      <c r="H14" s="171">
        <f>E14-F14-G14</f>
        <v>5345.5924045241845</v>
      </c>
      <c r="I14" s="297">
        <f>ROUND(D14*1000,0)</f>
        <v>6</v>
      </c>
      <c r="J14" s="42">
        <f>ROUND($J$9*D14,0)</f>
        <v>1180</v>
      </c>
      <c r="K14" s="42">
        <f>H14-J14</f>
        <v>4165.5924045241845</v>
      </c>
    </row>
    <row r="15" spans="1:12" ht="16.350000000000001" customHeight="1">
      <c r="A15" s="125">
        <v>5</v>
      </c>
      <c r="B15" s="48"/>
      <c r="C15" s="170" t="s">
        <v>110</v>
      </c>
      <c r="D15" s="164">
        <f>'MORE Formula w 3-yr Avg ''20-''22'!K28</f>
        <v>4.5083026516184212E-3</v>
      </c>
      <c r="E15" s="42">
        <f t="shared" si="1"/>
        <v>4351.1657626962615</v>
      </c>
      <c r="F15" s="278">
        <f t="shared" si="0"/>
        <v>1750</v>
      </c>
      <c r="G15" s="251"/>
      <c r="H15" s="171">
        <f t="shared" si="3"/>
        <v>2601.1657626962615</v>
      </c>
      <c r="I15" s="143">
        <f t="shared" si="2"/>
        <v>5</v>
      </c>
      <c r="J15" s="42">
        <f t="shared" si="4"/>
        <v>960</v>
      </c>
      <c r="K15" s="42">
        <f t="shared" si="5"/>
        <v>1641.1657626962615</v>
      </c>
    </row>
    <row r="16" spans="1:12" ht="16.350000000000001" customHeight="1">
      <c r="A16" s="125">
        <v>6</v>
      </c>
      <c r="B16" s="48"/>
      <c r="C16" s="170" t="s">
        <v>111</v>
      </c>
      <c r="D16" s="164">
        <f>'MORE Formula w 3-yr Avg ''20-''22'!K29</f>
        <v>4.4046111848191644E-3</v>
      </c>
      <c r="E16" s="42">
        <f t="shared" si="1"/>
        <v>4251.0884619722929</v>
      </c>
      <c r="F16" s="278">
        <f t="shared" si="0"/>
        <v>1750</v>
      </c>
      <c r="G16" s="251"/>
      <c r="H16" s="171">
        <f t="shared" si="3"/>
        <v>2501.0884619722929</v>
      </c>
      <c r="I16" s="143">
        <f t="shared" si="2"/>
        <v>4</v>
      </c>
      <c r="J16" s="42">
        <f t="shared" si="4"/>
        <v>938</v>
      </c>
      <c r="K16" s="42">
        <f t="shared" si="5"/>
        <v>1563.0884619722929</v>
      </c>
    </row>
    <row r="17" spans="1:12" ht="16.350000000000001" customHeight="1">
      <c r="A17" s="125">
        <v>7</v>
      </c>
      <c r="B17" s="48"/>
      <c r="C17" s="170" t="s">
        <v>112</v>
      </c>
      <c r="D17" s="164">
        <f>'MORE Formula w 3-yr Avg ''20-''22'!K32</f>
        <v>1.6363272178972484E-2</v>
      </c>
      <c r="E17" s="42">
        <f t="shared" si="1"/>
        <v>15792.930327174397</v>
      </c>
      <c r="F17" s="278">
        <f t="shared" ref="F17:F62" si="6">IF(E17&lt;($E$7*2),E17/2,$E$7)</f>
        <v>1750</v>
      </c>
      <c r="G17" s="251"/>
      <c r="H17" s="171">
        <f t="shared" si="3"/>
        <v>14042.930327174397</v>
      </c>
      <c r="I17" s="143">
        <f t="shared" si="2"/>
        <v>16</v>
      </c>
      <c r="J17" s="42">
        <f t="shared" si="4"/>
        <v>3485</v>
      </c>
      <c r="K17" s="42">
        <f t="shared" si="5"/>
        <v>10557.930327174397</v>
      </c>
      <c r="L17" t="s">
        <v>254</v>
      </c>
    </row>
    <row r="18" spans="1:12" ht="16.350000000000001" customHeight="1">
      <c r="A18" s="125">
        <v>8</v>
      </c>
      <c r="B18" s="48"/>
      <c r="C18" s="170" t="s">
        <v>113</v>
      </c>
      <c r="D18" s="164">
        <f>'MORE Formula w 3-yr Avg ''20-''22'!K37</f>
        <v>5.1299456403807956E-3</v>
      </c>
      <c r="E18" s="42">
        <f t="shared" si="1"/>
        <v>4951.1413850853232</v>
      </c>
      <c r="F18" s="278">
        <f t="shared" si="6"/>
        <v>1750</v>
      </c>
      <c r="G18" s="251"/>
      <c r="H18" s="171">
        <f t="shared" si="3"/>
        <v>3201.1413850853232</v>
      </c>
      <c r="I18" s="143">
        <f t="shared" si="2"/>
        <v>5</v>
      </c>
      <c r="J18" s="42">
        <f t="shared" si="4"/>
        <v>1093</v>
      </c>
      <c r="K18" s="42">
        <f t="shared" si="5"/>
        <v>2108.1413850853232</v>
      </c>
      <c r="L18" t="s">
        <v>254</v>
      </c>
    </row>
    <row r="19" spans="1:12" ht="16.350000000000001" customHeight="1">
      <c r="A19" s="125">
        <v>9</v>
      </c>
      <c r="B19" s="48"/>
      <c r="C19" s="170" t="s">
        <v>114</v>
      </c>
      <c r="D19" s="164">
        <f>'MORE Formula w 3-yr Avg ''20-''22'!K39</f>
        <v>5.0971690206315673E-2</v>
      </c>
      <c r="E19" s="42">
        <f t="shared" si="1"/>
        <v>49195.071944174539</v>
      </c>
      <c r="F19" s="278">
        <f t="shared" si="6"/>
        <v>1750</v>
      </c>
      <c r="G19" s="251"/>
      <c r="H19" s="171">
        <f t="shared" si="3"/>
        <v>47445.071944174539</v>
      </c>
      <c r="I19" s="143">
        <f t="shared" si="2"/>
        <v>51</v>
      </c>
      <c r="J19" s="42">
        <f t="shared" si="4"/>
        <v>10856</v>
      </c>
      <c r="K19" s="42">
        <f t="shared" si="5"/>
        <v>36589.071944174539</v>
      </c>
      <c r="L19" t="s">
        <v>254</v>
      </c>
    </row>
    <row r="20" spans="1:12" ht="16.350000000000001" customHeight="1">
      <c r="A20" s="125">
        <v>10</v>
      </c>
      <c r="B20" s="48"/>
      <c r="C20" s="170" t="s">
        <v>115</v>
      </c>
      <c r="D20" s="164">
        <f>'MORE Formula w 3-yr Avg ''20-''22'!K31</f>
        <v>0.1499641632174501</v>
      </c>
      <c r="E20" s="42">
        <f t="shared" si="1"/>
        <v>144737.16230850588</v>
      </c>
      <c r="F20" s="278">
        <f t="shared" si="6"/>
        <v>1750</v>
      </c>
      <c r="G20" s="251">
        <f>'MORE Formula w 3-yr Avg ''20-''22'!N31</f>
        <v>5410.6158530632056</v>
      </c>
      <c r="H20" s="171">
        <f t="shared" si="3"/>
        <v>137576.54645544267</v>
      </c>
      <c r="I20" s="143">
        <f t="shared" si="2"/>
        <v>150</v>
      </c>
      <c r="J20" s="42">
        <f t="shared" si="4"/>
        <v>31940</v>
      </c>
      <c r="K20" s="42">
        <f t="shared" si="5"/>
        <v>105636.54645544267</v>
      </c>
      <c r="L20" t="s">
        <v>254</v>
      </c>
    </row>
    <row r="21" spans="1:12" ht="16.350000000000001" customHeight="1">
      <c r="A21" s="125">
        <v>11</v>
      </c>
      <c r="B21" s="48"/>
      <c r="C21" s="170" t="s">
        <v>116</v>
      </c>
      <c r="D21" s="164">
        <f>'MORE Formula w 3-yr Avg ''20-''22'!K41</f>
        <v>9.8954537108646903E-3</v>
      </c>
      <c r="E21" s="42">
        <f t="shared" si="1"/>
        <v>9550.5476717725014</v>
      </c>
      <c r="F21" s="278">
        <f t="shared" si="6"/>
        <v>1750</v>
      </c>
      <c r="G21" s="251"/>
      <c r="H21" s="171">
        <f t="shared" si="3"/>
        <v>7800.5476717725014</v>
      </c>
      <c r="I21" s="143">
        <f t="shared" si="2"/>
        <v>10</v>
      </c>
      <c r="J21" s="42">
        <f t="shared" si="4"/>
        <v>2108</v>
      </c>
      <c r="K21" s="42">
        <f t="shared" si="5"/>
        <v>5692.5476717725014</v>
      </c>
    </row>
    <row r="22" spans="1:12" ht="16.350000000000001" customHeight="1">
      <c r="A22" s="125">
        <v>12</v>
      </c>
      <c r="B22" s="48"/>
      <c r="C22" s="170" t="s">
        <v>117</v>
      </c>
      <c r="D22" s="164">
        <f>'MORE Formula w 3-yr Avg ''20-''22'!K43</f>
        <v>8.3777647053467873E-3</v>
      </c>
      <c r="E22" s="42">
        <f t="shared" si="1"/>
        <v>8085.7577165419252</v>
      </c>
      <c r="F22" s="278">
        <f t="shared" si="6"/>
        <v>1750</v>
      </c>
      <c r="G22" s="251"/>
      <c r="H22" s="171">
        <f t="shared" si="3"/>
        <v>6335.7577165419252</v>
      </c>
      <c r="I22" s="143">
        <f t="shared" si="2"/>
        <v>8</v>
      </c>
      <c r="J22" s="42">
        <f t="shared" si="4"/>
        <v>1784</v>
      </c>
      <c r="K22" s="42">
        <f t="shared" si="5"/>
        <v>4551.7577165419252</v>
      </c>
    </row>
    <row r="23" spans="1:12" ht="16.350000000000001" customHeight="1">
      <c r="A23" s="125">
        <v>13</v>
      </c>
      <c r="B23" s="48"/>
      <c r="C23" s="170" t="s">
        <v>118</v>
      </c>
      <c r="D23" s="164">
        <f>'MORE Formula w 3-yr Avg ''20-''22'!K44</f>
        <v>4.7664185321435959E-2</v>
      </c>
      <c r="E23" s="42">
        <f t="shared" si="1"/>
        <v>46002.850142057308</v>
      </c>
      <c r="F23" s="278">
        <f t="shared" si="6"/>
        <v>1750</v>
      </c>
      <c r="G23" s="251"/>
      <c r="H23" s="171">
        <f t="shared" si="3"/>
        <v>44252.850142057308</v>
      </c>
      <c r="I23" s="143">
        <f t="shared" si="2"/>
        <v>48</v>
      </c>
      <c r="J23" s="42">
        <f t="shared" si="4"/>
        <v>10152</v>
      </c>
      <c r="K23" s="42">
        <f t="shared" si="5"/>
        <v>34100.850142057308</v>
      </c>
      <c r="L23" t="s">
        <v>254</v>
      </c>
    </row>
    <row r="24" spans="1:12" ht="16.350000000000001" customHeight="1">
      <c r="A24" s="125">
        <v>14</v>
      </c>
      <c r="B24" s="48"/>
      <c r="C24" s="170" t="s">
        <v>119</v>
      </c>
      <c r="D24" s="164">
        <f>'MORE Formula w 3-yr Avg ''20-''22'!K46</f>
        <v>1.678082001235193E-2</v>
      </c>
      <c r="E24" s="42">
        <f t="shared" si="1"/>
        <v>16195.924530821403</v>
      </c>
      <c r="F24" s="278">
        <f t="shared" si="6"/>
        <v>1750</v>
      </c>
      <c r="G24" s="251"/>
      <c r="H24" s="171">
        <f t="shared" si="3"/>
        <v>14445.924530821403</v>
      </c>
      <c r="I24" s="143">
        <f t="shared" si="2"/>
        <v>17</v>
      </c>
      <c r="J24" s="42">
        <f t="shared" si="4"/>
        <v>3574</v>
      </c>
      <c r="K24" s="42">
        <f t="shared" si="5"/>
        <v>10871.924530821403</v>
      </c>
      <c r="L24" t="s">
        <v>254</v>
      </c>
    </row>
    <row r="25" spans="1:12" ht="16.350000000000001" customHeight="1">
      <c r="A25" s="125">
        <v>15</v>
      </c>
      <c r="B25" s="48"/>
      <c r="C25" s="170" t="s">
        <v>120</v>
      </c>
      <c r="D25" s="164">
        <f>'MORE Formula w 3-yr Avg ''20-''22'!K47</f>
        <v>2.1453005762716495E-2</v>
      </c>
      <c r="E25" s="42">
        <f t="shared" si="1"/>
        <v>20705.261246857011</v>
      </c>
      <c r="F25" s="278">
        <f t="shared" si="6"/>
        <v>1750</v>
      </c>
      <c r="G25" s="251"/>
      <c r="H25" s="171">
        <f t="shared" si="3"/>
        <v>18955.261246857011</v>
      </c>
      <c r="I25" s="143">
        <f t="shared" si="2"/>
        <v>21</v>
      </c>
      <c r="J25" s="42">
        <f t="shared" si="4"/>
        <v>4569</v>
      </c>
      <c r="K25" s="42">
        <f t="shared" si="5"/>
        <v>14386.261246857011</v>
      </c>
    </row>
    <row r="26" spans="1:12" ht="16.350000000000001" customHeight="1">
      <c r="A26" s="125">
        <v>16</v>
      </c>
      <c r="B26" s="48"/>
      <c r="C26" s="170" t="s">
        <v>121</v>
      </c>
      <c r="D26" s="164"/>
      <c r="E26" s="42">
        <f t="shared" si="1"/>
        <v>0</v>
      </c>
      <c r="F26" s="278">
        <f t="shared" si="6"/>
        <v>0</v>
      </c>
      <c r="G26" s="251"/>
      <c r="H26" s="171">
        <f t="shared" si="3"/>
        <v>0</v>
      </c>
      <c r="I26" s="143">
        <f t="shared" si="2"/>
        <v>0</v>
      </c>
      <c r="J26" s="42">
        <f t="shared" si="4"/>
        <v>0</v>
      </c>
      <c r="K26" s="42">
        <f t="shared" si="5"/>
        <v>0</v>
      </c>
    </row>
    <row r="27" spans="1:12" ht="16.350000000000001" customHeight="1">
      <c r="A27" s="125">
        <v>17</v>
      </c>
      <c r="B27" s="48"/>
      <c r="C27" s="170" t="s">
        <v>122</v>
      </c>
      <c r="D27" s="164">
        <f>'MORE Formula w 3-yr Avg ''20-''22'!K51</f>
        <v>1.6550422631244312E-2</v>
      </c>
      <c r="E27" s="42">
        <f t="shared" si="1"/>
        <v>15973.557650432293</v>
      </c>
      <c r="F27" s="278">
        <f t="shared" si="6"/>
        <v>1750</v>
      </c>
      <c r="G27" s="251"/>
      <c r="H27" s="171">
        <f t="shared" si="3"/>
        <v>14223.557650432293</v>
      </c>
      <c r="I27" s="143">
        <f t="shared" si="2"/>
        <v>17</v>
      </c>
      <c r="J27" s="42">
        <f t="shared" si="4"/>
        <v>3525</v>
      </c>
      <c r="K27" s="42">
        <f t="shared" si="5"/>
        <v>10698.557650432293</v>
      </c>
      <c r="L27" t="s">
        <v>254</v>
      </c>
    </row>
    <row r="28" spans="1:12" ht="16.350000000000001" customHeight="1">
      <c r="A28" s="125">
        <v>18</v>
      </c>
      <c r="B28" s="48"/>
      <c r="C28" s="170" t="s">
        <v>123</v>
      </c>
      <c r="D28" s="164">
        <f>'MORE Formula w 3-yr Avg ''20-''22'!K53</f>
        <v>6.2485489517298522E-2</v>
      </c>
      <c r="E28" s="42">
        <f t="shared" si="1"/>
        <v>60307.557780173083</v>
      </c>
      <c r="F28" s="278">
        <f t="shared" si="6"/>
        <v>1750</v>
      </c>
      <c r="G28" s="251">
        <f>'MORE Formula w 3-yr Avg ''20-''22'!N53</f>
        <v>2254.4384799352511</v>
      </c>
      <c r="H28" s="171">
        <f t="shared" si="3"/>
        <v>56303.119300237835</v>
      </c>
      <c r="I28" s="143">
        <f t="shared" si="2"/>
        <v>62</v>
      </c>
      <c r="J28" s="42">
        <f t="shared" si="4"/>
        <v>13308</v>
      </c>
      <c r="K28" s="42">
        <f t="shared" si="5"/>
        <v>42995.119300237835</v>
      </c>
      <c r="L28" t="s">
        <v>254</v>
      </c>
    </row>
    <row r="29" spans="1:12" ht="16.350000000000001" customHeight="1">
      <c r="A29" s="125">
        <v>19</v>
      </c>
      <c r="B29" s="48"/>
      <c r="C29" s="170" t="s">
        <v>124</v>
      </c>
      <c r="D29" s="164">
        <f>'MORE Formula w 3-yr Avg ''20-''22'!K56</f>
        <v>1.5016294734648479E-2</v>
      </c>
      <c r="E29" s="42">
        <f t="shared" si="1"/>
        <v>14492.901781672306</v>
      </c>
      <c r="F29" s="278">
        <f t="shared" si="6"/>
        <v>1750</v>
      </c>
      <c r="G29" s="251"/>
      <c r="H29" s="171">
        <f t="shared" si="3"/>
        <v>12742.901781672306</v>
      </c>
      <c r="I29" s="143">
        <f t="shared" si="2"/>
        <v>15</v>
      </c>
      <c r="J29" s="42">
        <f t="shared" si="4"/>
        <v>3198</v>
      </c>
      <c r="K29" s="42">
        <f t="shared" si="5"/>
        <v>9544.9017816723062</v>
      </c>
      <c r="L29" s="159" t="s">
        <v>254</v>
      </c>
    </row>
    <row r="30" spans="1:12" ht="16.350000000000001" customHeight="1">
      <c r="A30" s="125">
        <v>20</v>
      </c>
      <c r="B30" s="48"/>
      <c r="C30" s="170" t="s">
        <v>125</v>
      </c>
      <c r="D30" s="164">
        <f>'MORE Formula w 3-yr Avg ''20-''22'!K61</f>
        <v>8.3266776899969096E-3</v>
      </c>
      <c r="E30" s="42">
        <f t="shared" si="1"/>
        <v>8036.4513391120672</v>
      </c>
      <c r="F30" s="278">
        <f t="shared" si="6"/>
        <v>1750</v>
      </c>
      <c r="G30" s="251"/>
      <c r="H30" s="171">
        <f t="shared" si="3"/>
        <v>6286.4513391120672</v>
      </c>
      <c r="I30" s="143">
        <f t="shared" si="2"/>
        <v>8</v>
      </c>
      <c r="J30" s="42">
        <f t="shared" si="4"/>
        <v>1773</v>
      </c>
      <c r="K30" s="42">
        <f t="shared" si="5"/>
        <v>4513.4513391120672</v>
      </c>
    </row>
    <row r="31" spans="1:12" ht="16.350000000000001" customHeight="1">
      <c r="A31" s="125">
        <v>21</v>
      </c>
      <c r="B31" s="48"/>
      <c r="C31" s="170" t="s">
        <v>126</v>
      </c>
      <c r="D31" s="164">
        <f>'MORE Formula w 3-yr Avg ''20-''22'!K16</f>
        <v>7.7293136788265564E-3</v>
      </c>
      <c r="E31" s="42">
        <f t="shared" si="1"/>
        <v>7459.9084505510564</v>
      </c>
      <c r="F31" s="278">
        <f t="shared" si="6"/>
        <v>1750</v>
      </c>
      <c r="G31" s="251"/>
      <c r="H31" s="171">
        <f t="shared" si="3"/>
        <v>5709.9084505510564</v>
      </c>
      <c r="I31" s="143">
        <f t="shared" si="2"/>
        <v>8</v>
      </c>
      <c r="J31" s="42">
        <f t="shared" si="4"/>
        <v>1646</v>
      </c>
      <c r="K31" s="42">
        <f t="shared" si="5"/>
        <v>4063.9084505510564</v>
      </c>
    </row>
    <row r="32" spans="1:12" ht="16.350000000000001" customHeight="1">
      <c r="A32" s="125">
        <v>22</v>
      </c>
      <c r="B32" s="48"/>
      <c r="C32" s="170" t="s">
        <v>127</v>
      </c>
      <c r="D32" s="164">
        <f>'MORE Formula w 3-yr Avg ''20-''22'!K24</f>
        <v>1.0650378170366598E-2</v>
      </c>
      <c r="E32" s="42">
        <f t="shared" si="1"/>
        <v>10279.15923923847</v>
      </c>
      <c r="F32" s="278">
        <f t="shared" si="6"/>
        <v>1750</v>
      </c>
      <c r="G32" s="251"/>
      <c r="H32" s="171">
        <f t="shared" si="3"/>
        <v>8529.15923923847</v>
      </c>
      <c r="I32" s="143">
        <f t="shared" si="2"/>
        <v>11</v>
      </c>
      <c r="J32" s="42">
        <f t="shared" si="4"/>
        <v>2268</v>
      </c>
      <c r="K32" s="42">
        <f t="shared" si="5"/>
        <v>6261.15923923847</v>
      </c>
    </row>
    <row r="33" spans="1:12" ht="16.350000000000001" customHeight="1">
      <c r="A33" s="125">
        <v>23</v>
      </c>
      <c r="B33" s="48"/>
      <c r="C33" s="170" t="s">
        <v>128</v>
      </c>
      <c r="D33" s="164">
        <f>'MORE Formula w 3-yr Avg ''20-''22'!K23</f>
        <v>9.2859502108983277E-3</v>
      </c>
      <c r="E33" s="42">
        <f t="shared" si="1"/>
        <v>8962.288416297466</v>
      </c>
      <c r="F33" s="278">
        <f t="shared" si="6"/>
        <v>1750</v>
      </c>
      <c r="G33" s="251"/>
      <c r="H33" s="171">
        <f t="shared" si="3"/>
        <v>7212.288416297466</v>
      </c>
      <c r="I33" s="143">
        <f t="shared" si="2"/>
        <v>9</v>
      </c>
      <c r="J33" s="42">
        <f t="shared" si="4"/>
        <v>1978</v>
      </c>
      <c r="K33" s="42">
        <f t="shared" si="5"/>
        <v>5234.288416297466</v>
      </c>
    </row>
    <row r="34" spans="1:12" ht="16.350000000000001" customHeight="1">
      <c r="A34" s="125">
        <v>24</v>
      </c>
      <c r="B34" s="48"/>
      <c r="C34" s="170" t="s">
        <v>129</v>
      </c>
      <c r="D34" s="164">
        <f>'MORE Formula w 3-yr Avg ''20-''22'!K20</f>
        <v>4.0464962653368533E-3</v>
      </c>
      <c r="E34" s="42">
        <f t="shared" si="1"/>
        <v>3905.4556380085373</v>
      </c>
      <c r="F34" s="278">
        <f t="shared" si="6"/>
        <v>1750</v>
      </c>
      <c r="G34" s="251"/>
      <c r="H34" s="171">
        <f t="shared" si="3"/>
        <v>2155.4556380085373</v>
      </c>
      <c r="I34" s="143">
        <f t="shared" si="2"/>
        <v>4</v>
      </c>
      <c r="J34" s="42">
        <f t="shared" si="4"/>
        <v>862</v>
      </c>
      <c r="K34" s="42">
        <f t="shared" si="5"/>
        <v>1293.4556380085373</v>
      </c>
    </row>
    <row r="35" spans="1:12" ht="16.350000000000001" customHeight="1">
      <c r="A35" s="125">
        <v>25</v>
      </c>
      <c r="B35" s="48"/>
      <c r="C35" s="170" t="s">
        <v>130</v>
      </c>
      <c r="D35" s="164">
        <f>'MORE Formula w 3-yr Avg ''20-''22'!K36</f>
        <v>1.0165304430559342E-2</v>
      </c>
      <c r="E35" s="42">
        <f t="shared" si="1"/>
        <v>9810.9927446321963</v>
      </c>
      <c r="F35" s="278">
        <f t="shared" si="6"/>
        <v>1750</v>
      </c>
      <c r="G35" s="251"/>
      <c r="H35" s="171">
        <f t="shared" si="3"/>
        <v>8060.9927446321963</v>
      </c>
      <c r="I35" s="143">
        <f t="shared" si="2"/>
        <v>10</v>
      </c>
      <c r="J35" s="42">
        <f t="shared" si="4"/>
        <v>2165</v>
      </c>
      <c r="K35" s="42">
        <f t="shared" si="5"/>
        <v>5895.9927446321963</v>
      </c>
      <c r="L35" t="s">
        <v>254</v>
      </c>
    </row>
    <row r="36" spans="1:12" ht="16.350000000000001" customHeight="1">
      <c r="A36" s="125">
        <v>26</v>
      </c>
      <c r="B36" s="48"/>
      <c r="C36" s="170" t="s">
        <v>131</v>
      </c>
      <c r="D36" s="164">
        <f>'MORE Formula w 3-yr Avg ''20-''22'!K42</f>
        <v>5.6967838953495137E-2</v>
      </c>
      <c r="E36" s="42">
        <f t="shared" si="1"/>
        <v>54982.224926771065</v>
      </c>
      <c r="F36" s="278">
        <f t="shared" si="6"/>
        <v>1750</v>
      </c>
      <c r="G36" s="251"/>
      <c r="H36" s="171">
        <f t="shared" si="3"/>
        <v>53232.224926771065</v>
      </c>
      <c r="I36" s="143">
        <f t="shared" si="2"/>
        <v>57</v>
      </c>
      <c r="J36" s="42">
        <f t="shared" si="4"/>
        <v>12133</v>
      </c>
      <c r="K36" s="42">
        <f t="shared" si="5"/>
        <v>41099.224926771065</v>
      </c>
      <c r="L36" t="s">
        <v>254</v>
      </c>
    </row>
    <row r="37" spans="1:12" ht="16.350000000000001" customHeight="1">
      <c r="A37" s="125">
        <v>27</v>
      </c>
      <c r="B37" s="48"/>
      <c r="C37" s="170" t="s">
        <v>132</v>
      </c>
      <c r="D37" s="164">
        <f>'MORE Formula w 3-yr Avg ''20-''22'!K48</f>
        <v>5.9766749839025319E-3</v>
      </c>
      <c r="E37" s="42">
        <f t="shared" si="1"/>
        <v>5768.3579773386091</v>
      </c>
      <c r="F37" s="278">
        <f t="shared" si="6"/>
        <v>1750</v>
      </c>
      <c r="G37" s="251"/>
      <c r="H37" s="171">
        <f t="shared" si="3"/>
        <v>4018.3579773386091</v>
      </c>
      <c r="I37" s="143">
        <f t="shared" si="2"/>
        <v>6</v>
      </c>
      <c r="J37" s="42">
        <f t="shared" si="4"/>
        <v>1273</v>
      </c>
      <c r="K37" s="42">
        <f t="shared" si="5"/>
        <v>2745.3579773386091</v>
      </c>
      <c r="L37" t="s">
        <v>254</v>
      </c>
    </row>
    <row r="38" spans="1:12" ht="16.350000000000001" customHeight="1">
      <c r="A38" s="125">
        <v>28</v>
      </c>
      <c r="B38" s="48"/>
      <c r="C38" s="170" t="s">
        <v>133</v>
      </c>
      <c r="D38" s="164">
        <f>'MORE Formula w 3-yr Avg ''20-''22'!K58</f>
        <v>1.3088139264215468E-2</v>
      </c>
      <c r="E38" s="42">
        <f t="shared" si="1"/>
        <v>12631.952170161238</v>
      </c>
      <c r="F38" s="278">
        <f t="shared" si="6"/>
        <v>1750</v>
      </c>
      <c r="G38" s="251"/>
      <c r="H38" s="171">
        <f t="shared" si="3"/>
        <v>10881.952170161238</v>
      </c>
      <c r="I38" s="143">
        <f t="shared" si="2"/>
        <v>13</v>
      </c>
      <c r="J38" s="42">
        <f t="shared" si="4"/>
        <v>2788</v>
      </c>
      <c r="K38" s="42">
        <f t="shared" si="5"/>
        <v>8093.9521701612375</v>
      </c>
      <c r="L38" t="s">
        <v>254</v>
      </c>
    </row>
    <row r="39" spans="1:12" ht="16.350000000000001" customHeight="1">
      <c r="A39" s="125">
        <v>29</v>
      </c>
      <c r="B39" s="48"/>
      <c r="C39" s="170" t="s">
        <v>134</v>
      </c>
      <c r="D39" s="164">
        <f>'MORE Formula w 3-yr Avg ''20-''22'!K22</f>
        <v>6.471687930161521E-2</v>
      </c>
      <c r="E39" s="42">
        <f t="shared" si="1"/>
        <v>62461.17247355741</v>
      </c>
      <c r="F39" s="278">
        <f t="shared" si="6"/>
        <v>1750</v>
      </c>
      <c r="G39" s="251">
        <f>'MORE Formula w 3-yr Avg ''20-''22'!N22</f>
        <v>2334.9456670015429</v>
      </c>
      <c r="H39" s="171">
        <f t="shared" si="3"/>
        <v>58376.226806555867</v>
      </c>
      <c r="I39" s="143">
        <f t="shared" si="2"/>
        <v>65</v>
      </c>
      <c r="J39" s="42">
        <f t="shared" si="4"/>
        <v>13784</v>
      </c>
      <c r="K39" s="42">
        <f t="shared" si="5"/>
        <v>44592.226806555867</v>
      </c>
      <c r="L39" t="s">
        <v>254</v>
      </c>
    </row>
    <row r="40" spans="1:12" ht="16.350000000000001" customHeight="1">
      <c r="A40" s="125">
        <v>30</v>
      </c>
      <c r="B40" s="48"/>
      <c r="C40" s="170" t="s">
        <v>135</v>
      </c>
      <c r="D40" s="164">
        <f>'MORE Formula w 3-yr Avg ''20-''22'!K54</f>
        <v>2.0013464716322909E-2</v>
      </c>
      <c r="E40" s="42">
        <f t="shared" si="1"/>
        <v>19315.895403635473</v>
      </c>
      <c r="F40" s="278">
        <f t="shared" si="6"/>
        <v>1750</v>
      </c>
      <c r="G40" s="251"/>
      <c r="H40" s="171">
        <f t="shared" si="3"/>
        <v>17565.895403635473</v>
      </c>
      <c r="I40" s="143">
        <f t="shared" si="2"/>
        <v>20</v>
      </c>
      <c r="J40" s="42">
        <f t="shared" si="4"/>
        <v>4263</v>
      </c>
      <c r="K40" s="42">
        <f t="shared" si="5"/>
        <v>13302.895403635473</v>
      </c>
      <c r="L40" t="s">
        <v>254</v>
      </c>
    </row>
    <row r="41" spans="1:12" ht="16.350000000000001" customHeight="1">
      <c r="A41" s="125">
        <v>31</v>
      </c>
      <c r="B41" s="48"/>
      <c r="C41" s="170" t="s">
        <v>136</v>
      </c>
      <c r="D41" s="164">
        <f>'MORE Formula w 3-yr Avg ''20-''22'!K35</f>
        <v>8.6382579024278476E-3</v>
      </c>
      <c r="E41" s="42">
        <f t="shared" si="1"/>
        <v>8337.1714232387258</v>
      </c>
      <c r="F41" s="278">
        <f t="shared" si="6"/>
        <v>1750</v>
      </c>
      <c r="G41" s="251"/>
      <c r="H41" s="171">
        <f t="shared" si="3"/>
        <v>6587.1714232387258</v>
      </c>
      <c r="I41" s="143">
        <f t="shared" si="2"/>
        <v>9</v>
      </c>
      <c r="J41" s="42">
        <f t="shared" si="4"/>
        <v>1840</v>
      </c>
      <c r="K41" s="42">
        <f t="shared" si="5"/>
        <v>4747.1714232387258</v>
      </c>
      <c r="L41" t="s">
        <v>254</v>
      </c>
    </row>
    <row r="42" spans="1:12" ht="16.350000000000001" customHeight="1">
      <c r="A42" s="125">
        <v>32</v>
      </c>
      <c r="B42" s="48"/>
      <c r="C42" s="170" t="s">
        <v>137</v>
      </c>
      <c r="D42" s="164">
        <f>'MORE Formula w 3-yr Avg ''20-''22'!K57</f>
        <v>8.3896512881262136E-3</v>
      </c>
      <c r="E42" s="42">
        <f t="shared" si="1"/>
        <v>8097.2299924785748</v>
      </c>
      <c r="F42" s="278">
        <f t="shared" si="6"/>
        <v>1750</v>
      </c>
      <c r="G42" s="251"/>
      <c r="H42" s="171">
        <f t="shared" si="3"/>
        <v>6347.2299924785748</v>
      </c>
      <c r="I42" s="143">
        <f t="shared" si="2"/>
        <v>8</v>
      </c>
      <c r="J42" s="42">
        <f t="shared" si="4"/>
        <v>1787</v>
      </c>
      <c r="K42" s="42">
        <f t="shared" si="5"/>
        <v>4560.2299924785748</v>
      </c>
      <c r="L42" t="s">
        <v>254</v>
      </c>
    </row>
    <row r="43" spans="1:12" ht="16.350000000000001" customHeight="1">
      <c r="A43" s="125">
        <v>33</v>
      </c>
      <c r="B43" s="48"/>
      <c r="C43" s="170" t="s">
        <v>138</v>
      </c>
      <c r="D43" s="164">
        <f>'MORE Formula w 3-yr Avg ''20-''22'!K33</f>
        <v>4.595808133356331E-3</v>
      </c>
      <c r="E43" s="42">
        <f t="shared" si="1"/>
        <v>4435.6212408681959</v>
      </c>
      <c r="F43" s="278">
        <f t="shared" si="6"/>
        <v>1750</v>
      </c>
      <c r="G43" s="251"/>
      <c r="H43" s="171">
        <f t="shared" si="3"/>
        <v>2685.6212408681959</v>
      </c>
      <c r="I43" s="143">
        <f t="shared" si="2"/>
        <v>5</v>
      </c>
      <c r="J43" s="42">
        <f t="shared" si="4"/>
        <v>979</v>
      </c>
      <c r="K43" s="42">
        <f t="shared" si="5"/>
        <v>1706.6212408681959</v>
      </c>
    </row>
    <row r="44" spans="1:12" ht="16.350000000000001" customHeight="1">
      <c r="A44" s="125">
        <v>34</v>
      </c>
      <c r="B44" s="48"/>
      <c r="C44" s="170" t="s">
        <v>139</v>
      </c>
      <c r="D44" s="164">
        <f>'MORE Formula w 3-yr Avg ''20-''22'!K38</f>
        <v>1.4095969740300928E-2</v>
      </c>
      <c r="E44" s="42">
        <f t="shared" si="1"/>
        <v>13604.65471500274</v>
      </c>
      <c r="F44" s="278">
        <f t="shared" si="6"/>
        <v>1750</v>
      </c>
      <c r="G44" s="251"/>
      <c r="H44" s="171">
        <f t="shared" si="3"/>
        <v>11854.65471500274</v>
      </c>
      <c r="I44" s="143">
        <f t="shared" si="2"/>
        <v>14</v>
      </c>
      <c r="J44" s="42">
        <f t="shared" si="4"/>
        <v>3002</v>
      </c>
      <c r="K44" s="42">
        <f t="shared" si="5"/>
        <v>8852.65471500274</v>
      </c>
    </row>
    <row r="45" spans="1:12" ht="16.350000000000001" customHeight="1">
      <c r="A45" s="125">
        <v>35</v>
      </c>
      <c r="B45" s="48"/>
      <c r="C45" s="170" t="s">
        <v>140</v>
      </c>
      <c r="D45" s="164">
        <f>'MORE Formula w 3-yr Avg ''20-''22'!K52</f>
        <v>3.5179226906772269E-2</v>
      </c>
      <c r="E45" s="42">
        <f t="shared" si="1"/>
        <v>33953.05495293672</v>
      </c>
      <c r="F45" s="278">
        <f t="shared" si="6"/>
        <v>1750</v>
      </c>
      <c r="G45" s="251"/>
      <c r="H45" s="171">
        <f t="shared" si="3"/>
        <v>32203.05495293672</v>
      </c>
      <c r="I45" s="143">
        <f t="shared" si="2"/>
        <v>35</v>
      </c>
      <c r="J45" s="42">
        <f t="shared" si="4"/>
        <v>7493</v>
      </c>
      <c r="K45" s="42">
        <f t="shared" si="5"/>
        <v>24710.05495293672</v>
      </c>
      <c r="L45" t="s">
        <v>254</v>
      </c>
    </row>
    <row r="46" spans="1:12" ht="17.100000000000001" customHeight="1">
      <c r="A46" s="126">
        <v>36</v>
      </c>
      <c r="B46" s="50"/>
      <c r="C46" s="140" t="s">
        <v>141</v>
      </c>
      <c r="D46" s="164">
        <f>'MORE Formula w 3-yr Avg ''20-''22'!K21</f>
        <v>1.0656447914764602E-2</v>
      </c>
      <c r="E46" s="42">
        <f t="shared" si="1"/>
        <v>10285.017422695482</v>
      </c>
      <c r="F46" s="278">
        <f t="shared" si="6"/>
        <v>1750</v>
      </c>
      <c r="G46" s="252"/>
      <c r="H46" s="171">
        <f t="shared" si="3"/>
        <v>8535.0174226954823</v>
      </c>
      <c r="I46" s="143">
        <f t="shared" si="2"/>
        <v>11</v>
      </c>
      <c r="J46" s="42">
        <f t="shared" si="4"/>
        <v>2270</v>
      </c>
      <c r="K46" s="42">
        <f t="shared" si="5"/>
        <v>6265.0174226954823</v>
      </c>
    </row>
    <row r="47" spans="1:12" ht="17.100000000000001" customHeight="1">
      <c r="A47" s="126">
        <v>37</v>
      </c>
      <c r="B47" s="50"/>
      <c r="C47" s="140" t="s">
        <v>142</v>
      </c>
      <c r="D47" s="164">
        <f>'MORE Formula w 3-yr Avg ''20-''22'!K11</f>
        <v>8.1326987752773239E-3</v>
      </c>
      <c r="E47" s="42">
        <f t="shared" si="1"/>
        <v>7849.2335594650331</v>
      </c>
      <c r="F47" s="278">
        <f t="shared" si="6"/>
        <v>1750</v>
      </c>
      <c r="G47" s="252"/>
      <c r="H47" s="171">
        <f t="shared" si="3"/>
        <v>6099.2335594650331</v>
      </c>
      <c r="I47" s="143">
        <f t="shared" si="2"/>
        <v>8</v>
      </c>
      <c r="J47" s="42">
        <f t="shared" si="4"/>
        <v>1732</v>
      </c>
      <c r="K47" s="42">
        <f t="shared" si="5"/>
        <v>4367.2335594650331</v>
      </c>
    </row>
    <row r="48" spans="1:12" ht="17.100000000000001" customHeight="1">
      <c r="A48" s="126">
        <v>38</v>
      </c>
      <c r="B48" s="50"/>
      <c r="C48" s="140" t="s">
        <v>143</v>
      </c>
      <c r="D48" s="164">
        <f>'MORE Formula w 3-yr Avg ''20-''22'!K18</f>
        <v>7.6347268286243077E-3</v>
      </c>
      <c r="E48" s="42">
        <f t="shared" si="1"/>
        <v>7368.6184250126071</v>
      </c>
      <c r="F48" s="278">
        <f t="shared" si="6"/>
        <v>1750</v>
      </c>
      <c r="G48" s="252"/>
      <c r="H48" s="171">
        <f t="shared" si="3"/>
        <v>5618.6184250126071</v>
      </c>
      <c r="I48" s="143">
        <f t="shared" si="2"/>
        <v>8</v>
      </c>
      <c r="J48" s="42">
        <f t="shared" si="4"/>
        <v>1626</v>
      </c>
      <c r="K48" s="42">
        <f t="shared" si="5"/>
        <v>3992.6184250126071</v>
      </c>
    </row>
    <row r="49" spans="1:12" ht="17.100000000000001" customHeight="1">
      <c r="A49" s="126">
        <v>39</v>
      </c>
      <c r="B49" s="50"/>
      <c r="C49" s="140" t="s">
        <v>144</v>
      </c>
      <c r="D49" s="164">
        <f>'MORE Formula w 3-yr Avg ''20-''22'!K50</f>
        <v>8.7381557789783515E-3</v>
      </c>
      <c r="E49" s="42">
        <f t="shared" si="1"/>
        <v>8433.5873593020606</v>
      </c>
      <c r="F49" s="278">
        <f t="shared" si="6"/>
        <v>1750</v>
      </c>
      <c r="G49" s="252"/>
      <c r="H49" s="171">
        <f t="shared" si="3"/>
        <v>6683.5873593020606</v>
      </c>
      <c r="I49" s="143">
        <f t="shared" si="2"/>
        <v>9</v>
      </c>
      <c r="J49" s="42">
        <f t="shared" si="4"/>
        <v>1861</v>
      </c>
      <c r="K49" s="42">
        <f t="shared" si="5"/>
        <v>4822.5873593020606</v>
      </c>
    </row>
    <row r="50" spans="1:12" ht="17.100000000000001" customHeight="1">
      <c r="A50" s="126">
        <v>40</v>
      </c>
      <c r="B50" s="50"/>
      <c r="C50" s="140" t="s">
        <v>145</v>
      </c>
      <c r="D50" s="164">
        <f>'MORE Formula w 3-yr Avg ''20-''22'!K49</f>
        <v>1.4023891525574615E-2</v>
      </c>
      <c r="E50" s="42">
        <f t="shared" si="1"/>
        <v>13535.088786450711</v>
      </c>
      <c r="F50" s="278">
        <f t="shared" si="6"/>
        <v>1750</v>
      </c>
      <c r="G50" s="252"/>
      <c r="H50" s="171">
        <f t="shared" si="3"/>
        <v>11785.088786450711</v>
      </c>
      <c r="I50" s="143">
        <f t="shared" si="2"/>
        <v>14</v>
      </c>
      <c r="J50" s="42">
        <f t="shared" si="4"/>
        <v>2987</v>
      </c>
      <c r="K50" s="42">
        <f t="shared" si="5"/>
        <v>8798.0887864507113</v>
      </c>
    </row>
    <row r="51" spans="1:12" ht="17.100000000000001" customHeight="1">
      <c r="A51" s="126">
        <v>41</v>
      </c>
      <c r="B51" s="50"/>
      <c r="C51" s="140" t="s">
        <v>146</v>
      </c>
      <c r="D51" s="164">
        <f>'MORE Formula w 3-yr Avg ''20-''22'!K59</f>
        <v>1.2151122472773402E-2</v>
      </c>
      <c r="E51" s="42">
        <f t="shared" si="1"/>
        <v>11727.595098984886</v>
      </c>
      <c r="F51" s="278">
        <f t="shared" si="6"/>
        <v>1750</v>
      </c>
      <c r="G51" s="252"/>
      <c r="H51" s="171">
        <f t="shared" si="3"/>
        <v>9977.5950989848861</v>
      </c>
      <c r="I51" s="143">
        <f t="shared" si="2"/>
        <v>12</v>
      </c>
      <c r="J51" s="42">
        <f t="shared" si="4"/>
        <v>2588</v>
      </c>
      <c r="K51" s="42">
        <f t="shared" si="5"/>
        <v>7389.5950989848861</v>
      </c>
      <c r="L51" t="s">
        <v>254</v>
      </c>
    </row>
    <row r="52" spans="1:12" ht="17.100000000000001" customHeight="1">
      <c r="A52" s="126">
        <v>42</v>
      </c>
      <c r="B52" s="50"/>
      <c r="C52" s="140" t="s">
        <v>147</v>
      </c>
      <c r="D52" s="164">
        <f>'MORE Formula w 3-yr Avg ''20-''22'!K14</f>
        <v>1.6544099980829723E-2</v>
      </c>
      <c r="E52" s="42">
        <f t="shared" si="1"/>
        <v>15967.455375997903</v>
      </c>
      <c r="F52" s="278">
        <f t="shared" si="6"/>
        <v>1750</v>
      </c>
      <c r="G52" s="252"/>
      <c r="H52" s="171">
        <f t="shared" si="3"/>
        <v>14217.455375997903</v>
      </c>
      <c r="I52" s="143">
        <f t="shared" si="2"/>
        <v>17</v>
      </c>
      <c r="J52" s="42">
        <f t="shared" si="4"/>
        <v>3524</v>
      </c>
      <c r="K52" s="42">
        <f t="shared" si="5"/>
        <v>10693.455375997903</v>
      </c>
      <c r="L52" t="s">
        <v>254</v>
      </c>
    </row>
    <row r="53" spans="1:12" ht="17.100000000000001" customHeight="1">
      <c r="A53" s="126">
        <v>43</v>
      </c>
      <c r="B53" s="50"/>
      <c r="C53" s="140" t="s">
        <v>148</v>
      </c>
      <c r="D53" s="164">
        <f>'MORE Formula w 3-yr Avg ''20-''22'!K17</f>
        <v>7.6706394829791722E-3</v>
      </c>
      <c r="E53" s="42">
        <f t="shared" si="1"/>
        <v>7403.2793437999335</v>
      </c>
      <c r="F53" s="278">
        <f t="shared" si="6"/>
        <v>1750</v>
      </c>
      <c r="G53" s="252"/>
      <c r="H53" s="171">
        <f t="shared" si="3"/>
        <v>5653.2793437999335</v>
      </c>
      <c r="I53" s="143">
        <f t="shared" si="2"/>
        <v>8</v>
      </c>
      <c r="J53" s="42">
        <f t="shared" si="4"/>
        <v>1634</v>
      </c>
      <c r="K53" s="42">
        <f t="shared" si="5"/>
        <v>4019.2793437999335</v>
      </c>
    </row>
    <row r="54" spans="1:12" ht="17.100000000000001" customHeight="1">
      <c r="A54" s="126">
        <v>44</v>
      </c>
      <c r="B54" s="50"/>
      <c r="C54" s="140" t="s">
        <v>149</v>
      </c>
      <c r="D54" s="164">
        <f>'MORE Formula w 3-yr Avg ''20-''22'!K19</f>
        <v>7.2874868678550891E-3</v>
      </c>
      <c r="E54" s="42">
        <f t="shared" si="1"/>
        <v>7033.4815130759998</v>
      </c>
      <c r="F54" s="278">
        <f t="shared" si="6"/>
        <v>1750</v>
      </c>
      <c r="G54" s="252"/>
      <c r="H54" s="171">
        <f t="shared" si="3"/>
        <v>5283.4815130759998</v>
      </c>
      <c r="I54" s="143">
        <f t="shared" si="2"/>
        <v>7</v>
      </c>
      <c r="J54" s="42">
        <f t="shared" si="4"/>
        <v>1552</v>
      </c>
      <c r="K54" s="42">
        <f t="shared" si="5"/>
        <v>3731.4815130759998</v>
      </c>
    </row>
    <row r="55" spans="1:12" ht="17.100000000000001" customHeight="1">
      <c r="A55" s="126">
        <v>45</v>
      </c>
      <c r="B55" s="50"/>
      <c r="C55" s="140" t="s">
        <v>150</v>
      </c>
      <c r="D55" s="164">
        <f>'MORE Formula w 3-yr Avg ''20-''22'!K26</f>
        <v>1.8693295309756761E-2</v>
      </c>
      <c r="E55" s="42">
        <f t="shared" si="1"/>
        <v>18041.740501735188</v>
      </c>
      <c r="F55" s="278">
        <f t="shared" si="6"/>
        <v>1750</v>
      </c>
      <c r="G55" s="252"/>
      <c r="H55" s="171">
        <f t="shared" si="3"/>
        <v>16291.740501735188</v>
      </c>
      <c r="I55" s="143">
        <f t="shared" si="2"/>
        <v>19</v>
      </c>
      <c r="J55" s="42">
        <f t="shared" si="4"/>
        <v>3981</v>
      </c>
      <c r="K55" s="42">
        <f t="shared" si="5"/>
        <v>12310.740501735188</v>
      </c>
    </row>
    <row r="56" spans="1:12" ht="17.100000000000001" customHeight="1">
      <c r="A56" s="126">
        <v>46</v>
      </c>
      <c r="B56" s="50"/>
      <c r="C56" s="140" t="s">
        <v>151</v>
      </c>
      <c r="D56" s="164">
        <f>'MORE Formula w 3-yr Avg ''20-''22'!K40</f>
        <v>2.5557164599834398E-2</v>
      </c>
      <c r="E56" s="42">
        <f t="shared" si="1"/>
        <v>24666.369627707169</v>
      </c>
      <c r="F56" s="278">
        <f t="shared" si="6"/>
        <v>1750</v>
      </c>
      <c r="G56" s="252"/>
      <c r="H56" s="171">
        <f t="shared" si="3"/>
        <v>22916.369627707169</v>
      </c>
      <c r="I56" s="143">
        <f t="shared" si="2"/>
        <v>26</v>
      </c>
      <c r="J56" s="42">
        <f t="shared" si="4"/>
        <v>5443</v>
      </c>
      <c r="K56" s="42">
        <f t="shared" si="5"/>
        <v>17473.369627707169</v>
      </c>
      <c r="L56" t="s">
        <v>254</v>
      </c>
    </row>
    <row r="57" spans="1:12" ht="17.100000000000001" customHeight="1">
      <c r="A57" s="126">
        <v>47</v>
      </c>
      <c r="B57" s="50"/>
      <c r="C57" s="140" t="s">
        <v>152</v>
      </c>
      <c r="D57" s="164">
        <f>'MORE Formula w 3-yr Avg ''20-''22'!K60</f>
        <v>6.3633682832587848E-3</v>
      </c>
      <c r="E57" s="42">
        <f t="shared" si="1"/>
        <v>6141.5730817457998</v>
      </c>
      <c r="F57" s="278">
        <f t="shared" si="6"/>
        <v>1750</v>
      </c>
      <c r="G57" s="252"/>
      <c r="H57" s="171">
        <f t="shared" si="3"/>
        <v>4391.5730817457998</v>
      </c>
      <c r="I57" s="143">
        <f t="shared" si="2"/>
        <v>6</v>
      </c>
      <c r="J57" s="42">
        <f t="shared" si="4"/>
        <v>1355</v>
      </c>
      <c r="K57" s="42">
        <f t="shared" si="5"/>
        <v>3036.5730817457998</v>
      </c>
    </row>
    <row r="58" spans="1:12" ht="17.100000000000001" customHeight="1">
      <c r="A58" s="126">
        <v>48</v>
      </c>
      <c r="B58" s="50"/>
      <c r="C58" s="140" t="s">
        <v>153</v>
      </c>
      <c r="D58" s="164">
        <f>'MORE Formula w 3-yr Avg ''20-''22'!K55</f>
        <v>3.6117508228297249E-3</v>
      </c>
      <c r="E58" s="42">
        <f t="shared" si="1"/>
        <v>3485.8632478999948</v>
      </c>
      <c r="F58" s="278">
        <f t="shared" si="6"/>
        <v>1742.9316239499974</v>
      </c>
      <c r="G58" s="252"/>
      <c r="H58" s="171">
        <f t="shared" si="3"/>
        <v>1742.9316239499974</v>
      </c>
      <c r="I58" s="143">
        <f>ROUND(D58*1000,0)</f>
        <v>4</v>
      </c>
      <c r="J58" s="42">
        <f t="shared" si="4"/>
        <v>769</v>
      </c>
      <c r="K58" s="42">
        <f t="shared" si="5"/>
        <v>973.9316239499974</v>
      </c>
    </row>
    <row r="59" spans="1:12" ht="17.100000000000001" customHeight="1">
      <c r="A59" s="126">
        <v>49</v>
      </c>
      <c r="B59" s="50"/>
      <c r="C59" s="140" t="s">
        <v>154</v>
      </c>
      <c r="D59" s="164">
        <f>'MORE Formula w 3-yr Avg ''20-''22'!K15</f>
        <v>1.6928264220020143E-2</v>
      </c>
      <c r="E59" s="42">
        <f t="shared" si="1"/>
        <v>16338.229570631342</v>
      </c>
      <c r="F59" s="278">
        <f t="shared" si="6"/>
        <v>1750</v>
      </c>
      <c r="G59" s="252"/>
      <c r="H59" s="171">
        <f t="shared" si="3"/>
        <v>14588.229570631342</v>
      </c>
      <c r="I59" s="143">
        <f>ROUND(D59*1000,0)</f>
        <v>17</v>
      </c>
      <c r="J59" s="42">
        <f t="shared" si="4"/>
        <v>3605</v>
      </c>
      <c r="K59" s="42">
        <f t="shared" si="5"/>
        <v>10983.229570631342</v>
      </c>
    </row>
    <row r="60" spans="1:12" ht="17.100000000000001" customHeight="1">
      <c r="A60" s="126">
        <v>50</v>
      </c>
      <c r="B60" s="50"/>
      <c r="C60" s="140" t="s">
        <v>155</v>
      </c>
      <c r="D60" s="164">
        <f>'MORE Formula w 3-yr Avg ''20-''22'!K10</f>
        <v>2.2685163875511567E-2</v>
      </c>
      <c r="E60" s="42">
        <f t="shared" si="1"/>
        <v>21894.47248863061</v>
      </c>
      <c r="F60" s="278">
        <f t="shared" si="6"/>
        <v>1750</v>
      </c>
      <c r="G60" s="252"/>
      <c r="H60" s="171">
        <f t="shared" si="3"/>
        <v>20144.47248863061</v>
      </c>
      <c r="I60" s="143">
        <f>ROUND(D60*1000,0)</f>
        <v>23</v>
      </c>
      <c r="J60" s="42">
        <f t="shared" si="4"/>
        <v>4832</v>
      </c>
      <c r="K60" s="42">
        <f t="shared" si="5"/>
        <v>15312.47248863061</v>
      </c>
      <c r="L60" t="s">
        <v>254</v>
      </c>
    </row>
    <row r="61" spans="1:12" ht="17.100000000000001" customHeight="1">
      <c r="A61" s="126">
        <v>51</v>
      </c>
      <c r="B61" s="50"/>
      <c r="C61" s="140" t="s">
        <v>156</v>
      </c>
      <c r="D61" s="164">
        <f>'MORE Formula w 3-yr Avg ''20-''22'!K45</f>
        <v>6.5735331830397183E-3</v>
      </c>
      <c r="E61" s="42">
        <f t="shared" si="1"/>
        <v>6344.4126839448691</v>
      </c>
      <c r="F61" s="278">
        <f t="shared" si="6"/>
        <v>1750</v>
      </c>
      <c r="G61" s="252"/>
      <c r="H61" s="171">
        <f t="shared" si="3"/>
        <v>4594.4126839448691</v>
      </c>
      <c r="I61" s="143"/>
      <c r="J61" s="42">
        <f t="shared" si="4"/>
        <v>1400</v>
      </c>
      <c r="K61" s="42">
        <f t="shared" si="5"/>
        <v>3194.4126839448691</v>
      </c>
    </row>
    <row r="62" spans="1:12" ht="17.100000000000001" customHeight="1">
      <c r="A62" s="126">
        <v>52</v>
      </c>
      <c r="B62" s="50"/>
      <c r="C62" s="140" t="s">
        <v>331</v>
      </c>
      <c r="D62" s="164">
        <f>'MORE Formula w 3-yr Avg ''20-''22'!K34</f>
        <v>3.5518120968994226E-3</v>
      </c>
      <c r="E62" s="42">
        <f t="shared" si="1"/>
        <v>3428.0136862619934</v>
      </c>
      <c r="F62" s="278">
        <f t="shared" si="6"/>
        <v>1714.0068431309967</v>
      </c>
      <c r="G62" s="252"/>
      <c r="H62" s="171">
        <f t="shared" si="3"/>
        <v>1714.0068431309967</v>
      </c>
      <c r="I62" s="143"/>
      <c r="J62" s="42">
        <f t="shared" si="4"/>
        <v>756</v>
      </c>
      <c r="K62" s="42">
        <f t="shared" si="5"/>
        <v>958.00684313099669</v>
      </c>
    </row>
    <row r="63" spans="1:12" ht="17.100000000000001" customHeight="1">
      <c r="A63" s="126">
        <v>53</v>
      </c>
      <c r="B63" s="50"/>
      <c r="C63" s="140" t="s">
        <v>343</v>
      </c>
      <c r="D63" s="164">
        <f>'MORE Formula w 3-yr Avg ''20-''22'!K30</f>
        <v>1.2953846169409601E-2</v>
      </c>
      <c r="E63" s="42">
        <f>($D$6*D63)</f>
        <v>12502.339861174829</v>
      </c>
      <c r="F63" s="278">
        <f>IF(E63&lt;($E$7*2),E63/2,$E$7)</f>
        <v>1750</v>
      </c>
      <c r="G63" s="252"/>
      <c r="H63" s="171">
        <f>E63-F63-G63</f>
        <v>10752.339861174829</v>
      </c>
      <c r="I63" s="143"/>
      <c r="J63" s="42">
        <f>ROUND($J$9*D63,0)</f>
        <v>2759</v>
      </c>
      <c r="K63" s="42">
        <f>H63-J63</f>
        <v>7993.3398611748289</v>
      </c>
    </row>
    <row r="64" spans="1:12" ht="17.100000000000001" customHeight="1" thickBot="1">
      <c r="A64" s="126">
        <v>54</v>
      </c>
      <c r="B64" s="50"/>
      <c r="C64" s="140" t="s">
        <v>411</v>
      </c>
      <c r="D64" s="164">
        <f>'MORE Formula w 3-yr Avg ''20-''22'!K25</f>
        <v>7.5838927192910131E-3</v>
      </c>
      <c r="E64" s="42">
        <f>($D$6*D64)</f>
        <v>7319.556138560125</v>
      </c>
      <c r="F64" s="278">
        <f>IF(E64&lt;($E$7*2),E64/2,$E$7)</f>
        <v>1750</v>
      </c>
      <c r="G64" s="252"/>
      <c r="H64" s="171">
        <f>E64-F64-G64</f>
        <v>5569.556138560125</v>
      </c>
      <c r="I64" s="143"/>
      <c r="J64" s="42">
        <f>ROUND($J$9*D64,0)</f>
        <v>1615</v>
      </c>
      <c r="K64" s="42">
        <f>H64-J64</f>
        <v>3954.556138560125</v>
      </c>
    </row>
    <row r="65" spans="1:11" ht="17.100000000000001" customHeight="1" thickBot="1">
      <c r="A65" s="125"/>
      <c r="B65" s="48"/>
      <c r="C65" s="48" t="s">
        <v>157</v>
      </c>
      <c r="D65" s="48"/>
      <c r="E65" s="48"/>
      <c r="F65" s="60"/>
      <c r="G65" s="253"/>
      <c r="H65" s="286">
        <f>SUM(E11:E61)-SUM(H11:H61)</f>
        <v>95742.931623949902</v>
      </c>
      <c r="I65" s="144"/>
      <c r="J65" s="6"/>
      <c r="K65" s="6"/>
    </row>
    <row r="66" spans="1:11" ht="15" thickBot="1">
      <c r="A66" s="126"/>
      <c r="B66" s="50"/>
      <c r="C66" s="50"/>
      <c r="D66" s="50"/>
      <c r="E66" s="50"/>
      <c r="F66" s="61"/>
      <c r="G66" s="254"/>
      <c r="H66" s="285"/>
      <c r="I66" s="145"/>
      <c r="J66" s="16"/>
      <c r="K66" s="16"/>
    </row>
    <row r="67" spans="1:11" ht="18.75" customHeight="1" thickBot="1">
      <c r="A67" s="51"/>
      <c r="B67" s="52"/>
      <c r="C67" s="53" t="s">
        <v>158</v>
      </c>
      <c r="D67" s="66">
        <f>SUM(D11:D65)</f>
        <v>1</v>
      </c>
      <c r="E67" s="62">
        <f>SUM(E11:E66)</f>
        <v>965144.99999999988</v>
      </c>
      <c r="F67" s="122">
        <f>SUM(F11:F66)</f>
        <v>90956.938467080996</v>
      </c>
      <c r="G67" s="122">
        <f>SUM(G11:G66)</f>
        <v>10000</v>
      </c>
      <c r="H67" s="123">
        <f>SUM(H11:H66)-H65</f>
        <v>864188.06153291906</v>
      </c>
      <c r="I67" s="146">
        <f>SUM(I11:I65)</f>
        <v>971</v>
      </c>
      <c r="J67" s="62">
        <f>SUM(J11:J66)</f>
        <v>212984</v>
      </c>
      <c r="K67" s="62">
        <f>SUM(K11:K66)</f>
        <v>651204.06153291906</v>
      </c>
    </row>
    <row r="68" spans="1:11" ht="13.5" customHeight="1">
      <c r="A68" s="28"/>
      <c r="B68" s="30"/>
      <c r="C68" s="28"/>
      <c r="D68" s="28"/>
      <c r="E68" s="117" t="s">
        <v>159</v>
      </c>
      <c r="F68" s="28"/>
      <c r="G68" s="28"/>
      <c r="H68" s="28"/>
    </row>
    <row r="69" spans="1:11" ht="27" hidden="1" customHeight="1">
      <c r="A69" s="28"/>
      <c r="B69" s="28"/>
      <c r="C69" s="28"/>
      <c r="D69" s="28"/>
      <c r="E69" s="47"/>
      <c r="F69" s="46" t="s">
        <v>160</v>
      </c>
      <c r="G69" s="46"/>
      <c r="H69" s="41">
        <v>0</v>
      </c>
    </row>
    <row r="70" spans="1:11">
      <c r="A70" s="28"/>
      <c r="B70" s="28"/>
      <c r="C70" s="28" t="s">
        <v>161</v>
      </c>
      <c r="D70" s="28"/>
      <c r="E70" s="41"/>
      <c r="F70" s="28"/>
      <c r="G70" s="28"/>
      <c r="H70" s="28"/>
    </row>
    <row r="71" spans="1:11">
      <c r="A71" s="28"/>
      <c r="B71" s="28"/>
      <c r="C71" s="28"/>
      <c r="D71" s="28"/>
      <c r="E71" s="28"/>
      <c r="F71" s="28"/>
      <c r="G71" s="28"/>
      <c r="H71" s="28"/>
    </row>
    <row r="73" spans="1:11" ht="15.75" thickBot="1">
      <c r="A73" s="189" t="s">
        <v>254</v>
      </c>
      <c r="B73" s="131" t="s">
        <v>309</v>
      </c>
      <c r="C73" s="131"/>
      <c r="D73" s="130"/>
      <c r="E73" s="130"/>
      <c r="F73" s="130"/>
      <c r="G73" s="130"/>
      <c r="H73" s="237">
        <f>(372*1.04)</f>
        <v>386.88</v>
      </c>
      <c r="J73" s="263" t="s">
        <v>344</v>
      </c>
    </row>
    <row r="74" spans="1:11" ht="19.5" customHeight="1">
      <c r="C74" s="113" t="s">
        <v>162</v>
      </c>
      <c r="D74" s="238">
        <f>$H$73*F74</f>
        <v>773.76</v>
      </c>
      <c r="E74" s="113" t="s">
        <v>345</v>
      </c>
      <c r="F74" s="236">
        <v>2</v>
      </c>
      <c r="G74" s="236" t="s">
        <v>339</v>
      </c>
      <c r="H74" s="111"/>
    </row>
    <row r="75" spans="1:11" ht="14.25" customHeight="1">
      <c r="C75" s="113" t="s">
        <v>163</v>
      </c>
      <c r="D75" s="239">
        <f>$H$73*F75</f>
        <v>386.88</v>
      </c>
      <c r="E75" s="113" t="s">
        <v>345</v>
      </c>
      <c r="F75" s="236">
        <v>1</v>
      </c>
      <c r="G75" s="236" t="s">
        <v>339</v>
      </c>
    </row>
    <row r="76" spans="1:11" ht="14.25" customHeight="1">
      <c r="C76" s="304" t="s">
        <v>163</v>
      </c>
      <c r="D76" s="308">
        <v>12180</v>
      </c>
      <c r="E76" s="304" t="s">
        <v>397</v>
      </c>
      <c r="F76" s="236"/>
      <c r="G76" s="236"/>
    </row>
    <row r="77" spans="1:11" ht="14.25" customHeight="1">
      <c r="C77" s="113" t="s">
        <v>164</v>
      </c>
      <c r="D77" s="239">
        <f>$H$73*F77</f>
        <v>386.88</v>
      </c>
      <c r="E77" s="113" t="s">
        <v>345</v>
      </c>
      <c r="F77" s="236">
        <v>1</v>
      </c>
      <c r="G77" s="236" t="s">
        <v>340</v>
      </c>
    </row>
    <row r="78" spans="1:11" ht="14.25" customHeight="1">
      <c r="C78" s="113" t="s">
        <v>165</v>
      </c>
      <c r="D78" s="239">
        <f>$H$73*F78</f>
        <v>386.88</v>
      </c>
      <c r="E78" s="113" t="s">
        <v>345</v>
      </c>
      <c r="F78" s="236">
        <v>1</v>
      </c>
      <c r="G78" s="236" t="s">
        <v>340</v>
      </c>
    </row>
    <row r="79" spans="1:11" ht="14.25" customHeight="1">
      <c r="C79" s="113" t="s">
        <v>166</v>
      </c>
      <c r="D79" s="239">
        <f>$H$73*F79</f>
        <v>773.76</v>
      </c>
      <c r="E79" s="113" t="s">
        <v>345</v>
      </c>
      <c r="F79" s="236">
        <v>2</v>
      </c>
      <c r="G79" s="236" t="s">
        <v>339</v>
      </c>
    </row>
    <row r="80" spans="1:11" ht="30" customHeight="1">
      <c r="C80" s="305" t="s">
        <v>303</v>
      </c>
      <c r="D80" s="306">
        <v>1697</v>
      </c>
      <c r="E80" s="307" t="s">
        <v>308</v>
      </c>
      <c r="F80" s="236"/>
      <c r="G80" s="236"/>
    </row>
    <row r="81" spans="3:7">
      <c r="C81" s="204" t="s">
        <v>298</v>
      </c>
      <c r="D81" s="239">
        <f>$H$73*F81</f>
        <v>3095.04</v>
      </c>
      <c r="E81" s="113" t="s">
        <v>345</v>
      </c>
      <c r="F81" s="236">
        <v>8</v>
      </c>
      <c r="G81" s="236" t="s">
        <v>366</v>
      </c>
    </row>
    <row r="82" spans="3:7">
      <c r="C82" s="113" t="s">
        <v>168</v>
      </c>
      <c r="D82" s="239">
        <f>$H$73*F82</f>
        <v>386.88</v>
      </c>
      <c r="E82" s="113" t="s">
        <v>345</v>
      </c>
      <c r="F82" s="236">
        <v>1</v>
      </c>
      <c r="G82" s="236" t="s">
        <v>340</v>
      </c>
    </row>
    <row r="83" spans="3:7">
      <c r="C83" s="113" t="s">
        <v>214</v>
      </c>
      <c r="D83" s="239">
        <f>$H$73*F83</f>
        <v>386.88</v>
      </c>
      <c r="E83" s="113" t="s">
        <v>345</v>
      </c>
      <c r="F83" s="236">
        <v>1</v>
      </c>
      <c r="G83" s="236" t="s">
        <v>340</v>
      </c>
    </row>
    <row r="84" spans="3:7">
      <c r="C84" s="113" t="s">
        <v>169</v>
      </c>
      <c r="D84" s="239">
        <f t="shared" ref="D84:D99" si="7">$H$73*F84</f>
        <v>386.88</v>
      </c>
      <c r="E84" s="113" t="s">
        <v>345</v>
      </c>
      <c r="F84" s="236">
        <v>1</v>
      </c>
      <c r="G84" s="236" t="s">
        <v>340</v>
      </c>
    </row>
    <row r="85" spans="3:7">
      <c r="C85" s="113" t="s">
        <v>171</v>
      </c>
      <c r="D85" s="239">
        <f t="shared" si="7"/>
        <v>773.76</v>
      </c>
      <c r="E85" s="113" t="s">
        <v>345</v>
      </c>
      <c r="F85" s="236">
        <v>2</v>
      </c>
      <c r="G85" s="236" t="s">
        <v>339</v>
      </c>
    </row>
    <row r="86" spans="3:7">
      <c r="C86" s="113" t="s">
        <v>172</v>
      </c>
      <c r="D86" s="239">
        <f t="shared" si="7"/>
        <v>773.76</v>
      </c>
      <c r="E86" s="113" t="s">
        <v>345</v>
      </c>
      <c r="F86" s="236">
        <v>2</v>
      </c>
      <c r="G86" s="236" t="s">
        <v>339</v>
      </c>
    </row>
    <row r="87" spans="3:7" ht="15">
      <c r="C87" s="304" t="s">
        <v>172</v>
      </c>
      <c r="D87" s="308">
        <v>27529</v>
      </c>
      <c r="E87" s="304" t="s">
        <v>397</v>
      </c>
      <c r="F87" s="236"/>
      <c r="G87" s="236"/>
    </row>
    <row r="88" spans="3:7">
      <c r="C88" s="113" t="s">
        <v>173</v>
      </c>
      <c r="D88" s="239">
        <f t="shared" si="7"/>
        <v>773.76</v>
      </c>
      <c r="E88" s="113" t="s">
        <v>345</v>
      </c>
      <c r="F88" s="236">
        <v>2</v>
      </c>
      <c r="G88" s="236" t="s">
        <v>340</v>
      </c>
    </row>
    <row r="89" spans="3:7" ht="15">
      <c r="C89" s="304" t="s">
        <v>173</v>
      </c>
      <c r="D89" s="308">
        <v>28238</v>
      </c>
      <c r="E89" s="304" t="s">
        <v>397</v>
      </c>
      <c r="F89" s="236"/>
      <c r="G89" s="236"/>
    </row>
    <row r="90" spans="3:7">
      <c r="C90" s="113" t="s">
        <v>221</v>
      </c>
      <c r="D90" s="239">
        <f t="shared" si="7"/>
        <v>386.88</v>
      </c>
      <c r="E90" s="113" t="s">
        <v>345</v>
      </c>
      <c r="F90" s="236">
        <v>1</v>
      </c>
      <c r="G90" s="236" t="s">
        <v>340</v>
      </c>
    </row>
    <row r="91" spans="3:7">
      <c r="C91" s="113" t="s">
        <v>174</v>
      </c>
      <c r="D91" s="239">
        <f t="shared" si="7"/>
        <v>386.88</v>
      </c>
      <c r="E91" s="113" t="s">
        <v>345</v>
      </c>
      <c r="F91" s="236">
        <v>1</v>
      </c>
      <c r="G91" s="236" t="s">
        <v>340</v>
      </c>
    </row>
    <row r="92" spans="3:7">
      <c r="C92" s="113" t="s">
        <v>175</v>
      </c>
      <c r="D92" s="239">
        <f t="shared" si="7"/>
        <v>386.88</v>
      </c>
      <c r="E92" s="113" t="s">
        <v>345</v>
      </c>
      <c r="F92" s="236">
        <v>1</v>
      </c>
      <c r="G92" s="236" t="s">
        <v>340</v>
      </c>
    </row>
    <row r="93" spans="3:7">
      <c r="C93" s="113" t="s">
        <v>176</v>
      </c>
      <c r="D93" s="239">
        <f t="shared" si="7"/>
        <v>386.88</v>
      </c>
      <c r="E93" s="113" t="s">
        <v>345</v>
      </c>
      <c r="F93" s="236">
        <v>1</v>
      </c>
      <c r="G93" s="236" t="s">
        <v>341</v>
      </c>
    </row>
    <row r="94" spans="3:7" ht="15">
      <c r="C94" s="304" t="s">
        <v>398</v>
      </c>
      <c r="D94" s="308">
        <v>23212</v>
      </c>
      <c r="E94" s="304" t="s">
        <v>397</v>
      </c>
      <c r="F94" s="236"/>
      <c r="G94" s="236"/>
    </row>
    <row r="95" spans="3:7">
      <c r="C95" s="113" t="s">
        <v>177</v>
      </c>
      <c r="D95" s="239">
        <f t="shared" si="7"/>
        <v>1547.52</v>
      </c>
      <c r="E95" s="113" t="s">
        <v>345</v>
      </c>
      <c r="F95" s="236">
        <v>4</v>
      </c>
      <c r="G95" s="236" t="s">
        <v>366</v>
      </c>
    </row>
    <row r="96" spans="3:7">
      <c r="C96" s="113" t="s">
        <v>229</v>
      </c>
      <c r="D96" s="239">
        <f t="shared" si="7"/>
        <v>773.76</v>
      </c>
      <c r="E96" s="113" t="s">
        <v>345</v>
      </c>
      <c r="F96" s="236">
        <v>2</v>
      </c>
      <c r="G96" s="236" t="s">
        <v>339</v>
      </c>
    </row>
    <row r="97" spans="1:9" ht="15" thickBot="1">
      <c r="C97" s="113" t="s">
        <v>230</v>
      </c>
      <c r="D97" s="239">
        <f t="shared" si="7"/>
        <v>386.88</v>
      </c>
      <c r="E97" s="113" t="s">
        <v>345</v>
      </c>
      <c r="F97" s="236">
        <v>1</v>
      </c>
      <c r="G97" s="236" t="s">
        <v>340</v>
      </c>
    </row>
    <row r="98" spans="1:9" ht="15" thickBot="1">
      <c r="C98" s="113" t="s">
        <v>178</v>
      </c>
      <c r="D98" s="239">
        <f t="shared" si="7"/>
        <v>386.88</v>
      </c>
      <c r="E98" s="113" t="s">
        <v>345</v>
      </c>
      <c r="F98" s="236">
        <v>1</v>
      </c>
      <c r="G98" s="236" t="s">
        <v>340</v>
      </c>
      <c r="I98" s="115"/>
    </row>
    <row r="99" spans="1:9" ht="15" customHeight="1" thickBot="1">
      <c r="C99" s="113" t="s">
        <v>179</v>
      </c>
      <c r="D99" s="239">
        <f t="shared" si="7"/>
        <v>386.88</v>
      </c>
      <c r="E99" s="113" t="s">
        <v>345</v>
      </c>
      <c r="F99" s="236">
        <v>1</v>
      </c>
      <c r="G99" s="236" t="s">
        <v>340</v>
      </c>
    </row>
    <row r="100" spans="1:9" ht="23.25" customHeight="1" thickBot="1">
      <c r="A100" s="115"/>
      <c r="B100" s="115"/>
      <c r="C100" s="116" t="s">
        <v>181</v>
      </c>
      <c r="D100" s="235">
        <f>SUM(D74:D99)</f>
        <v>107170.56000000003</v>
      </c>
      <c r="E100" s="202"/>
      <c r="F100" s="242">
        <f>SUM(F74:F99)</f>
        <v>37</v>
      </c>
      <c r="G100" s="242"/>
      <c r="H100" s="115"/>
    </row>
    <row r="101" spans="1:9">
      <c r="C101" s="113"/>
    </row>
    <row r="102" spans="1:9" ht="15">
      <c r="C102" s="1"/>
    </row>
  </sheetData>
  <mergeCells count="3">
    <mergeCell ref="J6:K6"/>
    <mergeCell ref="J7:K7"/>
    <mergeCell ref="A3:C3"/>
  </mergeCells>
  <phoneticPr fontId="0" type="noConversion"/>
  <pageMargins left="0.48" right="0.48" top="0.6" bottom="0.6" header="0.37" footer="0.26"/>
  <pageSetup scale="62" fitToHeight="2" orientation="portrait" verticalDpi="300" r:id="rId1"/>
  <headerFooter>
    <oddHeader>&amp;C&amp;K0000002024 Preliminary MORE Budget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AJ72"/>
  <sheetViews>
    <sheetView showRuler="0" zoomScaleNormal="100" zoomScalePageLayoutView="96" workbookViewId="0"/>
  </sheetViews>
  <sheetFormatPr defaultColWidth="8" defaultRowHeight="12.75"/>
  <cols>
    <col min="1" max="1" width="3.75" style="72" customWidth="1"/>
    <col min="2" max="4" width="11.75" style="72" customWidth="1"/>
    <col min="5" max="5" width="9.875" style="72" bestFit="1" customWidth="1"/>
    <col min="6" max="6" width="10.375" style="72" bestFit="1" customWidth="1"/>
    <col min="7" max="7" width="9.875" style="72" bestFit="1" customWidth="1"/>
    <col min="8" max="8" width="11.25" style="72" customWidth="1"/>
    <col min="9" max="10" width="9.875" style="72" customWidth="1"/>
    <col min="11" max="11" width="8.375" style="72" customWidth="1"/>
    <col min="12" max="12" width="10.125" style="72" customWidth="1"/>
    <col min="13" max="13" width="8.875" style="72" bestFit="1" customWidth="1"/>
    <col min="14" max="14" width="11.375" style="72" customWidth="1"/>
    <col min="15" max="15" width="9.25" style="72" bestFit="1" customWidth="1"/>
    <col min="16" max="16" width="9.25" style="72" customWidth="1"/>
    <col min="17" max="17" width="8.75" style="72" bestFit="1" customWidth="1"/>
    <col min="18" max="18" width="7" style="72" customWidth="1"/>
    <col min="19" max="19" width="0.75" style="72" customWidth="1"/>
    <col min="20" max="20" width="8.125" style="72" customWidth="1"/>
    <col min="21" max="22" width="7.375" style="72" customWidth="1"/>
    <col min="23" max="23" width="8.125" style="72" customWidth="1"/>
    <col min="24" max="24" width="9.125" style="72" customWidth="1"/>
    <col min="25" max="25" width="8" style="72"/>
    <col min="26" max="27" width="11.25" style="72" bestFit="1" customWidth="1"/>
    <col min="28" max="29" width="10" style="72" customWidth="1"/>
    <col min="30" max="32" width="8" style="72"/>
    <col min="33" max="34" width="7.75" style="72" customWidth="1"/>
    <col min="35" max="35" width="9.125" style="72" customWidth="1"/>
    <col min="36" max="16384" width="8" style="72"/>
  </cols>
  <sheetData>
    <row r="1" spans="1:36" ht="15" customHeight="1">
      <c r="B1" s="71" t="s">
        <v>381</v>
      </c>
      <c r="C1" s="71"/>
      <c r="D1" s="71"/>
      <c r="K1" s="71" t="s">
        <v>182</v>
      </c>
      <c r="M1" s="172">
        <f>(100000*1.05)+30000</f>
        <v>135000</v>
      </c>
      <c r="N1" s="292" t="s">
        <v>407</v>
      </c>
      <c r="O1" s="129"/>
      <c r="U1" s="71"/>
      <c r="V1" s="71"/>
    </row>
    <row r="2" spans="1:36">
      <c r="B2" s="71" t="s">
        <v>406</v>
      </c>
      <c r="C2" s="71"/>
      <c r="D2" s="71"/>
      <c r="K2" s="134" t="s">
        <v>183</v>
      </c>
      <c r="M2" s="173">
        <v>1750</v>
      </c>
      <c r="N2" s="255" t="s">
        <v>335</v>
      </c>
      <c r="O2" s="129"/>
    </row>
    <row r="3" spans="1:36">
      <c r="F3" s="74" t="s">
        <v>318</v>
      </c>
      <c r="K3" s="71" t="s">
        <v>315</v>
      </c>
      <c r="M3" s="244">
        <v>10000</v>
      </c>
      <c r="N3" s="296"/>
    </row>
    <row r="4" spans="1:36" ht="13.5" thickBot="1">
      <c r="A4" s="71"/>
      <c r="B4" s="71"/>
      <c r="C4" s="71"/>
      <c r="D4" s="71"/>
      <c r="F4" s="74" t="s">
        <v>184</v>
      </c>
      <c r="G4" s="74" t="s">
        <v>185</v>
      </c>
      <c r="H4" s="74" t="s">
        <v>186</v>
      </c>
      <c r="AF4" s="74"/>
    </row>
    <row r="5" spans="1:36" ht="13.5" thickBot="1">
      <c r="C5" s="71" t="s">
        <v>409</v>
      </c>
      <c r="E5" s="133">
        <f>'2024 Preliminary budget'!H44</f>
        <v>1000063</v>
      </c>
      <c r="F5" s="228">
        <f>M1-(90082)-M3</f>
        <v>34918</v>
      </c>
      <c r="G5" s="174">
        <f>E5-F5</f>
        <v>965145</v>
      </c>
      <c r="H5" s="175">
        <f>'2024 Preliminary budget'!H37</f>
        <v>212985</v>
      </c>
      <c r="L5" s="74">
        <v>10</v>
      </c>
      <c r="M5" s="74">
        <v>11</v>
      </c>
      <c r="N5" s="74">
        <v>12</v>
      </c>
      <c r="O5" s="74">
        <v>13</v>
      </c>
      <c r="P5" s="74">
        <v>14</v>
      </c>
      <c r="Q5" s="74">
        <v>15</v>
      </c>
      <c r="R5" s="74">
        <v>16</v>
      </c>
      <c r="AF5" s="74"/>
    </row>
    <row r="6" spans="1:36" ht="12" customHeight="1" thickBot="1">
      <c r="E6" s="73"/>
      <c r="F6" s="290" t="s">
        <v>395</v>
      </c>
      <c r="G6" s="80">
        <f>M62</f>
        <v>90082</v>
      </c>
      <c r="L6" s="312" t="s">
        <v>408</v>
      </c>
      <c r="M6" s="313"/>
      <c r="N6" s="313"/>
      <c r="O6" s="313"/>
      <c r="P6" s="313"/>
      <c r="Q6" s="313"/>
      <c r="R6" s="314"/>
      <c r="T6" s="74">
        <v>17</v>
      </c>
      <c r="U6" s="74">
        <v>18</v>
      </c>
      <c r="V6" s="74">
        <v>19</v>
      </c>
      <c r="W6" s="74">
        <v>20</v>
      </c>
      <c r="X6" s="74">
        <v>21</v>
      </c>
      <c r="AE6" s="264"/>
      <c r="AF6" s="282"/>
    </row>
    <row r="7" spans="1:36" ht="12.75" customHeight="1" thickBot="1"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315" t="s">
        <v>187</v>
      </c>
      <c r="M7" s="316"/>
      <c r="N7" s="316"/>
      <c r="O7" s="316"/>
      <c r="P7" s="316"/>
      <c r="Q7" s="316"/>
      <c r="R7" s="317"/>
      <c r="T7" s="312" t="s">
        <v>386</v>
      </c>
      <c r="U7" s="313"/>
      <c r="V7" s="313"/>
      <c r="W7" s="313"/>
      <c r="X7" s="314"/>
      <c r="AB7" s="283"/>
      <c r="AE7" s="264"/>
    </row>
    <row r="8" spans="1:36" s="75" customFormat="1" ht="39" thickBot="1">
      <c r="B8" s="75" t="s">
        <v>188</v>
      </c>
      <c r="C8" s="281" t="s">
        <v>332</v>
      </c>
      <c r="D8" s="76" t="s">
        <v>346</v>
      </c>
      <c r="E8" s="76" t="s">
        <v>382</v>
      </c>
      <c r="F8" s="76" t="s">
        <v>189</v>
      </c>
      <c r="G8" s="76" t="s">
        <v>383</v>
      </c>
      <c r="H8" s="76" t="s">
        <v>190</v>
      </c>
      <c r="I8" s="302" t="s">
        <v>384</v>
      </c>
      <c r="J8" s="76" t="s">
        <v>333</v>
      </c>
      <c r="K8" s="76" t="s">
        <v>334</v>
      </c>
      <c r="L8" s="269" t="s">
        <v>410</v>
      </c>
      <c r="M8" s="270" t="s">
        <v>191</v>
      </c>
      <c r="N8" s="270" t="s">
        <v>314</v>
      </c>
      <c r="O8" s="271" t="s">
        <v>192</v>
      </c>
      <c r="P8" s="272" t="s">
        <v>193</v>
      </c>
      <c r="Q8" s="270" t="s">
        <v>194</v>
      </c>
      <c r="R8" s="273" t="s">
        <v>195</v>
      </c>
      <c r="S8" s="76"/>
      <c r="T8" s="193" t="s">
        <v>387</v>
      </c>
      <c r="U8" s="192" t="s">
        <v>191</v>
      </c>
      <c r="V8" s="76" t="s">
        <v>314</v>
      </c>
      <c r="W8" s="192" t="s">
        <v>192</v>
      </c>
      <c r="X8" s="232" t="s">
        <v>193</v>
      </c>
      <c r="Z8" s="76"/>
      <c r="AA8" s="281"/>
      <c r="AB8" s="76"/>
      <c r="AC8" s="76"/>
      <c r="AD8" s="76"/>
      <c r="AE8" s="76"/>
      <c r="AF8" s="76"/>
      <c r="AG8" s="76"/>
      <c r="AH8" s="76"/>
      <c r="AI8" s="76"/>
      <c r="AJ8" s="76"/>
    </row>
    <row r="9" spans="1:36" ht="15.75" customHeight="1">
      <c r="A9" s="96">
        <v>1</v>
      </c>
      <c r="B9" s="72" t="s">
        <v>162</v>
      </c>
      <c r="C9" s="287">
        <v>134307</v>
      </c>
      <c r="D9" s="279">
        <v>157984</v>
      </c>
      <c r="E9" s="291">
        <v>56567</v>
      </c>
      <c r="F9" s="176">
        <f t="shared" ref="F9:F41" si="0">E9/$E$62</f>
        <v>4.008943884565775E-2</v>
      </c>
      <c r="G9" s="203">
        <v>130872</v>
      </c>
      <c r="H9" s="176">
        <f t="shared" ref="H9:H41" si="1">G9/$G$62</f>
        <v>4.3453243238487156E-2</v>
      </c>
      <c r="I9" s="203">
        <f>G9+E9</f>
        <v>187439</v>
      </c>
      <c r="J9" s="280">
        <f>ROUND((C9+D9+I9)/3,0)</f>
        <v>159910</v>
      </c>
      <c r="K9" s="178">
        <f t="shared" ref="K9:K41" si="2">J9/$J$62</f>
        <v>4.0442201111876012E-2</v>
      </c>
      <c r="L9" s="77">
        <f>ROUND(K9*$G$5,0)</f>
        <v>39033</v>
      </c>
      <c r="M9" s="198">
        <f>IF(L9&lt;(M2*2), L9/2,$M$2)</f>
        <v>1750</v>
      </c>
      <c r="N9" s="198"/>
      <c r="O9" s="179">
        <f>L9-M9-N9</f>
        <v>37283</v>
      </c>
      <c r="P9" s="180">
        <f>ROUND(K9*$H$5,0)</f>
        <v>8614</v>
      </c>
      <c r="Q9" s="198">
        <f t="shared" ref="Q9:Q61" si="3">O9-W9</f>
        <v>3980</v>
      </c>
      <c r="R9" s="181">
        <f>(O9-W9)/W9</f>
        <v>0.11950875296519833</v>
      </c>
      <c r="S9" s="78"/>
      <c r="T9" s="194">
        <v>34903</v>
      </c>
      <c r="U9" s="197">
        <v>1600</v>
      </c>
      <c r="V9" s="197"/>
      <c r="W9" s="198">
        <v>33303</v>
      </c>
      <c r="X9" s="233">
        <v>7845</v>
      </c>
      <c r="Z9" s="177"/>
      <c r="AA9" s="265"/>
      <c r="AB9" s="80"/>
      <c r="AC9" s="80"/>
      <c r="AD9" s="266"/>
      <c r="AE9" s="80"/>
      <c r="AF9" s="266"/>
      <c r="AG9" s="266"/>
      <c r="AH9" s="265"/>
      <c r="AI9" s="80"/>
    </row>
    <row r="10" spans="1:36" ht="12.75" customHeight="1">
      <c r="A10" s="96">
        <v>2</v>
      </c>
      <c r="B10" s="129" t="s">
        <v>163</v>
      </c>
      <c r="C10" s="287">
        <v>89349</v>
      </c>
      <c r="D10" s="279">
        <v>82813</v>
      </c>
      <c r="E10" s="210">
        <v>34136</v>
      </c>
      <c r="F10" s="176">
        <f t="shared" si="0"/>
        <v>2.4192428172527675E-2</v>
      </c>
      <c r="G10" s="203">
        <v>62797</v>
      </c>
      <c r="H10" s="176">
        <f t="shared" si="1"/>
        <v>2.0850398218467497E-2</v>
      </c>
      <c r="I10" s="203">
        <f t="shared" ref="I10:I61" si="4">G10+E10</f>
        <v>96933</v>
      </c>
      <c r="J10" s="280">
        <f t="shared" ref="J10:J61" si="5">ROUND((C10+D10+I10)/3,0)</f>
        <v>89698</v>
      </c>
      <c r="K10" s="178">
        <f t="shared" si="2"/>
        <v>2.2685163875511567E-2</v>
      </c>
      <c r="L10" s="79">
        <f>ROUND(K10*$G$5,0)</f>
        <v>21894</v>
      </c>
      <c r="M10" s="197">
        <f>IF(L10&lt;($M$2*2), L10/2,$M$2)</f>
        <v>1750</v>
      </c>
      <c r="N10" s="197"/>
      <c r="O10" s="249">
        <f>L10-M10-N10</f>
        <v>20144</v>
      </c>
      <c r="P10" s="119">
        <f t="shared" ref="P10:P39" si="6">ROUND(K10*$H$5,0)</f>
        <v>4832</v>
      </c>
      <c r="Q10" s="80">
        <f t="shared" si="3"/>
        <v>-424</v>
      </c>
      <c r="R10" s="182">
        <f>(O10-W10)/W10</f>
        <v>-2.0614546868922598E-2</v>
      </c>
      <c r="S10" s="78"/>
      <c r="T10" s="195">
        <v>22168</v>
      </c>
      <c r="U10" s="197">
        <v>1600</v>
      </c>
      <c r="V10" s="197"/>
      <c r="W10" s="196">
        <v>20568</v>
      </c>
      <c r="X10" s="234">
        <v>4983</v>
      </c>
      <c r="Z10" s="177"/>
      <c r="AA10" s="265"/>
      <c r="AB10" s="80"/>
      <c r="AC10" s="80"/>
      <c r="AD10" s="266"/>
      <c r="AE10" s="80"/>
      <c r="AF10" s="266"/>
      <c r="AG10" s="266"/>
      <c r="AH10" s="265"/>
      <c r="AI10" s="80"/>
    </row>
    <row r="11" spans="1:36">
      <c r="A11" s="96">
        <v>3</v>
      </c>
      <c r="B11" s="129" t="s">
        <v>196</v>
      </c>
      <c r="C11" s="287">
        <v>28863</v>
      </c>
      <c r="D11" s="279">
        <v>31040</v>
      </c>
      <c r="E11" s="210">
        <v>18080</v>
      </c>
      <c r="F11" s="176">
        <f t="shared" si="0"/>
        <v>1.2813425748749132E-2</v>
      </c>
      <c r="G11" s="203">
        <v>18489</v>
      </c>
      <c r="H11" s="176">
        <f t="shared" si="1"/>
        <v>6.1388762625801474E-3</v>
      </c>
      <c r="I11" s="203">
        <f t="shared" si="4"/>
        <v>36569</v>
      </c>
      <c r="J11" s="280">
        <f t="shared" si="5"/>
        <v>32157</v>
      </c>
      <c r="K11" s="178">
        <f t="shared" si="2"/>
        <v>8.1326987752773239E-3</v>
      </c>
      <c r="L11" s="79">
        <f t="shared" ref="L11:L61" si="7">ROUND(K11*$G$5,0)</f>
        <v>7849</v>
      </c>
      <c r="M11" s="197">
        <f t="shared" ref="M11:M61" si="8">IF(L11&lt;($M$2*2), L11/2,$M$2)</f>
        <v>1750</v>
      </c>
      <c r="N11" s="197"/>
      <c r="O11" s="249">
        <f t="shared" ref="O11:O61" si="9">L11-M11-N11</f>
        <v>6099</v>
      </c>
      <c r="P11" s="119">
        <f t="shared" si="6"/>
        <v>1732</v>
      </c>
      <c r="Q11" s="80">
        <f t="shared" si="3"/>
        <v>487</v>
      </c>
      <c r="R11" s="182">
        <f>(O11-W11)/W11</f>
        <v>8.6778332145402703E-2</v>
      </c>
      <c r="S11" s="78"/>
      <c r="T11" s="195">
        <v>7212</v>
      </c>
      <c r="U11" s="197">
        <v>1600</v>
      </c>
      <c r="V11" s="197"/>
      <c r="W11" s="196">
        <v>5612</v>
      </c>
      <c r="X11" s="234">
        <v>1621</v>
      </c>
      <c r="Z11" s="177"/>
      <c r="AA11" s="265"/>
      <c r="AB11" s="80"/>
      <c r="AC11" s="80"/>
      <c r="AD11" s="266"/>
      <c r="AE11" s="80"/>
      <c r="AF11" s="266"/>
      <c r="AG11" s="266"/>
      <c r="AH11" s="265"/>
      <c r="AI11" s="80"/>
    </row>
    <row r="12" spans="1:36">
      <c r="A12" s="96">
        <v>4</v>
      </c>
      <c r="B12" s="129" t="s">
        <v>164</v>
      </c>
      <c r="C12" s="287">
        <v>63257</v>
      </c>
      <c r="D12" s="279">
        <v>66511</v>
      </c>
      <c r="E12" s="210">
        <v>28878</v>
      </c>
      <c r="F12" s="176">
        <f t="shared" si="0"/>
        <v>2.0466045839180168E-2</v>
      </c>
      <c r="G12" s="203">
        <v>45864</v>
      </c>
      <c r="H12" s="176">
        <f t="shared" si="1"/>
        <v>1.5228158413487798E-2</v>
      </c>
      <c r="I12" s="203">
        <f t="shared" si="4"/>
        <v>74742</v>
      </c>
      <c r="J12" s="280">
        <f t="shared" si="5"/>
        <v>68170</v>
      </c>
      <c r="K12" s="178">
        <f t="shared" si="2"/>
        <v>1.7240603150500831E-2</v>
      </c>
      <c r="L12" s="79">
        <f t="shared" si="7"/>
        <v>16640</v>
      </c>
      <c r="M12" s="197">
        <f t="shared" si="8"/>
        <v>1750</v>
      </c>
      <c r="N12" s="197"/>
      <c r="O12" s="249">
        <f t="shared" si="9"/>
        <v>14890</v>
      </c>
      <c r="P12" s="119">
        <f t="shared" si="6"/>
        <v>3672</v>
      </c>
      <c r="Q12" s="80">
        <f t="shared" si="3"/>
        <v>637</v>
      </c>
      <c r="R12" s="182">
        <f>(O12-W12)/W12</f>
        <v>4.4692345471128887E-2</v>
      </c>
      <c r="S12" s="78"/>
      <c r="T12" s="195">
        <v>15853</v>
      </c>
      <c r="U12" s="197">
        <v>1600</v>
      </c>
      <c r="V12" s="197"/>
      <c r="W12" s="196">
        <v>14253</v>
      </c>
      <c r="X12" s="234">
        <v>3563</v>
      </c>
      <c r="Z12" s="177"/>
      <c r="AA12" s="265"/>
      <c r="AB12" s="80"/>
      <c r="AC12" s="80"/>
      <c r="AD12" s="266"/>
      <c r="AE12" s="80"/>
      <c r="AF12" s="266"/>
      <c r="AG12" s="266"/>
      <c r="AH12" s="265"/>
      <c r="AI12" s="80"/>
    </row>
    <row r="13" spans="1:36">
      <c r="A13" s="96">
        <v>5</v>
      </c>
      <c r="B13" s="72" t="s">
        <v>197</v>
      </c>
      <c r="C13" s="287">
        <v>27835</v>
      </c>
      <c r="D13" s="279">
        <v>30976</v>
      </c>
      <c r="E13" s="210">
        <v>16516</v>
      </c>
      <c r="F13" s="176">
        <f t="shared" si="0"/>
        <v>1.1705007724908222E-2</v>
      </c>
      <c r="G13" s="203">
        <v>19639</v>
      </c>
      <c r="H13" s="176">
        <f t="shared" si="1"/>
        <v>6.5207091200611992E-3</v>
      </c>
      <c r="I13" s="203">
        <f t="shared" si="4"/>
        <v>36155</v>
      </c>
      <c r="J13" s="280">
        <f t="shared" si="5"/>
        <v>31655</v>
      </c>
      <c r="K13" s="178">
        <f t="shared" si="2"/>
        <v>8.0057399549523806E-3</v>
      </c>
      <c r="L13" s="79">
        <f t="shared" si="7"/>
        <v>7727</v>
      </c>
      <c r="M13" s="197">
        <f t="shared" si="8"/>
        <v>1750</v>
      </c>
      <c r="N13" s="197"/>
      <c r="O13" s="249">
        <f t="shared" si="9"/>
        <v>5977</v>
      </c>
      <c r="P13" s="119">
        <f t="shared" si="6"/>
        <v>1705</v>
      </c>
      <c r="Q13" s="80">
        <f t="shared" si="3"/>
        <v>755</v>
      </c>
      <c r="R13" s="182">
        <f>(O13-W13)/W13</f>
        <v>0.14458062045193412</v>
      </c>
      <c r="S13" s="78"/>
      <c r="T13" s="195">
        <v>6822</v>
      </c>
      <c r="U13" s="197">
        <v>1600</v>
      </c>
      <c r="V13" s="197"/>
      <c r="W13" s="196">
        <v>5222</v>
      </c>
      <c r="X13" s="234">
        <v>1533</v>
      </c>
      <c r="Z13" s="177"/>
      <c r="AA13" s="265"/>
      <c r="AB13" s="80"/>
      <c r="AC13" s="80"/>
      <c r="AD13" s="266"/>
      <c r="AE13" s="80"/>
      <c r="AF13" s="266"/>
      <c r="AG13" s="266"/>
      <c r="AH13" s="265"/>
      <c r="AI13" s="80"/>
    </row>
    <row r="14" spans="1:36">
      <c r="A14" s="96">
        <v>6</v>
      </c>
      <c r="B14" s="129" t="s">
        <v>198</v>
      </c>
      <c r="C14" s="287">
        <v>62405</v>
      </c>
      <c r="D14" s="279">
        <v>64318</v>
      </c>
      <c r="E14" s="210">
        <v>26785</v>
      </c>
      <c r="F14" s="176">
        <f t="shared" si="0"/>
        <v>1.8982721719040127E-2</v>
      </c>
      <c r="G14" s="203">
        <v>42740</v>
      </c>
      <c r="H14" s="176">
        <f t="shared" si="1"/>
        <v>1.4190901155426226E-2</v>
      </c>
      <c r="I14" s="203">
        <f t="shared" si="4"/>
        <v>69525</v>
      </c>
      <c r="J14" s="280">
        <f t="shared" si="5"/>
        <v>65416</v>
      </c>
      <c r="K14" s="178">
        <f t="shared" si="2"/>
        <v>1.6544099980829723E-2</v>
      </c>
      <c r="L14" s="79">
        <f t="shared" si="7"/>
        <v>15967</v>
      </c>
      <c r="M14" s="197">
        <f t="shared" si="8"/>
        <v>1750</v>
      </c>
      <c r="N14" s="197"/>
      <c r="O14" s="249">
        <f t="shared" si="9"/>
        <v>14217</v>
      </c>
      <c r="P14" s="119">
        <f t="shared" si="6"/>
        <v>3524</v>
      </c>
      <c r="Q14" s="80">
        <f t="shared" si="3"/>
        <v>-510</v>
      </c>
      <c r="R14" s="182">
        <f t="shared" ref="R14:R27" si="10">(O14-W14)/W14</f>
        <v>-3.4630270930943167E-2</v>
      </c>
      <c r="S14" s="78"/>
      <c r="T14" s="195">
        <v>16327</v>
      </c>
      <c r="U14" s="197">
        <v>1600</v>
      </c>
      <c r="V14" s="197"/>
      <c r="W14" s="196">
        <v>14727</v>
      </c>
      <c r="X14" s="234">
        <v>3670</v>
      </c>
      <c r="Z14" s="177"/>
      <c r="AA14" s="265"/>
      <c r="AB14" s="80"/>
      <c r="AC14" s="80"/>
      <c r="AD14" s="266"/>
      <c r="AE14" s="80"/>
      <c r="AF14" s="266"/>
      <c r="AG14" s="266"/>
      <c r="AH14" s="265"/>
      <c r="AI14" s="80"/>
    </row>
    <row r="15" spans="1:36">
      <c r="A15" s="96">
        <v>7</v>
      </c>
      <c r="B15" s="129" t="s">
        <v>199</v>
      </c>
      <c r="C15" s="287">
        <v>62153</v>
      </c>
      <c r="D15" s="279">
        <v>65851</v>
      </c>
      <c r="E15" s="210">
        <v>24899</v>
      </c>
      <c r="F15" s="176">
        <f t="shared" si="0"/>
        <v>1.7646099984408442E-2</v>
      </c>
      <c r="G15" s="203">
        <v>47902</v>
      </c>
      <c r="H15" s="176">
        <f t="shared" si="1"/>
        <v>1.5904832642658566E-2</v>
      </c>
      <c r="I15" s="203">
        <f t="shared" si="4"/>
        <v>72801</v>
      </c>
      <c r="J15" s="280">
        <f t="shared" si="5"/>
        <v>66935</v>
      </c>
      <c r="K15" s="178">
        <f t="shared" si="2"/>
        <v>1.6928264220020143E-2</v>
      </c>
      <c r="L15" s="79">
        <f t="shared" si="7"/>
        <v>16338</v>
      </c>
      <c r="M15" s="197">
        <f t="shared" si="8"/>
        <v>1750</v>
      </c>
      <c r="N15" s="197"/>
      <c r="O15" s="249">
        <f t="shared" si="9"/>
        <v>14588</v>
      </c>
      <c r="P15" s="119">
        <f t="shared" si="6"/>
        <v>3605</v>
      </c>
      <c r="Q15" s="80">
        <f t="shared" si="3"/>
        <v>274</v>
      </c>
      <c r="R15" s="182">
        <f t="shared" si="10"/>
        <v>1.9142098644683525E-2</v>
      </c>
      <c r="S15" s="78"/>
      <c r="T15" s="195">
        <v>15914</v>
      </c>
      <c r="U15" s="197">
        <v>1600</v>
      </c>
      <c r="V15" s="197"/>
      <c r="W15" s="196">
        <v>14314</v>
      </c>
      <c r="X15" s="234">
        <v>3577</v>
      </c>
      <c r="Z15" s="177"/>
      <c r="AA15" s="265"/>
      <c r="AB15" s="80"/>
      <c r="AC15" s="80"/>
      <c r="AD15" s="266"/>
      <c r="AE15" s="80"/>
      <c r="AF15" s="266"/>
      <c r="AG15" s="266"/>
      <c r="AH15" s="265"/>
      <c r="AI15" s="80"/>
    </row>
    <row r="16" spans="1:36">
      <c r="A16" s="96">
        <v>8</v>
      </c>
      <c r="B16" s="72" t="s">
        <v>200</v>
      </c>
      <c r="C16" s="287">
        <v>27067</v>
      </c>
      <c r="D16" s="279">
        <v>30818</v>
      </c>
      <c r="E16" s="210">
        <v>12543</v>
      </c>
      <c r="F16" s="176">
        <f t="shared" si="0"/>
        <v>8.8893141131947094E-3</v>
      </c>
      <c r="G16" s="203">
        <v>21259</v>
      </c>
      <c r="H16" s="176">
        <f t="shared" si="1"/>
        <v>7.0585954062518984E-3</v>
      </c>
      <c r="I16" s="203">
        <f t="shared" si="4"/>
        <v>33802</v>
      </c>
      <c r="J16" s="280">
        <f t="shared" si="5"/>
        <v>30562</v>
      </c>
      <c r="K16" s="178">
        <f t="shared" si="2"/>
        <v>7.7293136788265564E-3</v>
      </c>
      <c r="L16" s="79">
        <f t="shared" si="7"/>
        <v>7460</v>
      </c>
      <c r="M16" s="197">
        <f t="shared" si="8"/>
        <v>1750</v>
      </c>
      <c r="N16" s="197"/>
      <c r="O16" s="249">
        <f t="shared" si="9"/>
        <v>5710</v>
      </c>
      <c r="P16" s="119">
        <f t="shared" si="6"/>
        <v>1646</v>
      </c>
      <c r="Q16" s="80">
        <f t="shared" si="3"/>
        <v>314</v>
      </c>
      <c r="R16" s="182">
        <f t="shared" si="10"/>
        <v>5.8191252779836916E-2</v>
      </c>
      <c r="S16" s="78"/>
      <c r="T16" s="195">
        <v>6996</v>
      </c>
      <c r="U16" s="197">
        <v>1600</v>
      </c>
      <c r="V16" s="197"/>
      <c r="W16" s="196">
        <v>5396</v>
      </c>
      <c r="X16" s="234">
        <v>1573</v>
      </c>
      <c r="Z16" s="177"/>
      <c r="AA16" s="265"/>
      <c r="AB16" s="80"/>
      <c r="AC16" s="80"/>
      <c r="AD16" s="266"/>
      <c r="AE16" s="80"/>
      <c r="AF16" s="266"/>
      <c r="AG16" s="266"/>
      <c r="AH16" s="265"/>
      <c r="AI16" s="80"/>
    </row>
    <row r="17" spans="1:35">
      <c r="A17" s="96">
        <v>9</v>
      </c>
      <c r="B17" s="129" t="s">
        <v>201</v>
      </c>
      <c r="C17" s="287">
        <v>28391</v>
      </c>
      <c r="D17" s="279">
        <v>30961</v>
      </c>
      <c r="E17" s="210">
        <v>18817</v>
      </c>
      <c r="F17" s="176">
        <f t="shared" si="0"/>
        <v>1.3335742937732988E-2</v>
      </c>
      <c r="G17" s="203">
        <v>12822</v>
      </c>
      <c r="H17" s="176">
        <f t="shared" si="1"/>
        <v>4.2572703466278684E-3</v>
      </c>
      <c r="I17" s="203">
        <f t="shared" si="4"/>
        <v>31639</v>
      </c>
      <c r="J17" s="280">
        <f t="shared" si="5"/>
        <v>30330</v>
      </c>
      <c r="K17" s="178">
        <f t="shared" si="2"/>
        <v>7.6706394829791722E-3</v>
      </c>
      <c r="L17" s="79">
        <f t="shared" si="7"/>
        <v>7403</v>
      </c>
      <c r="M17" s="197">
        <f t="shared" si="8"/>
        <v>1750</v>
      </c>
      <c r="N17" s="197"/>
      <c r="O17" s="249">
        <f t="shared" si="9"/>
        <v>5653</v>
      </c>
      <c r="P17" s="119">
        <f t="shared" si="6"/>
        <v>1634</v>
      </c>
      <c r="Q17" s="80">
        <f t="shared" si="3"/>
        <v>712</v>
      </c>
      <c r="R17" s="182">
        <f t="shared" si="10"/>
        <v>0.14410038453754301</v>
      </c>
      <c r="S17" s="78"/>
      <c r="T17" s="195">
        <v>6541</v>
      </c>
      <c r="U17" s="197">
        <v>1600</v>
      </c>
      <c r="V17" s="197"/>
      <c r="W17" s="196">
        <v>4941</v>
      </c>
      <c r="X17" s="234">
        <v>1470</v>
      </c>
      <c r="Z17" s="177"/>
      <c r="AA17" s="265"/>
      <c r="AB17" s="80"/>
      <c r="AC17" s="80"/>
      <c r="AD17" s="266"/>
      <c r="AE17" s="80"/>
      <c r="AF17" s="266"/>
      <c r="AG17" s="266"/>
      <c r="AH17" s="265"/>
      <c r="AI17" s="80"/>
    </row>
    <row r="18" spans="1:35">
      <c r="A18" s="96">
        <v>10</v>
      </c>
      <c r="B18" s="129" t="s">
        <v>202</v>
      </c>
      <c r="C18" s="287">
        <v>29424</v>
      </c>
      <c r="D18" s="279">
        <v>28919</v>
      </c>
      <c r="E18" s="210">
        <v>14317</v>
      </c>
      <c r="F18" s="176">
        <f t="shared" si="0"/>
        <v>1.0146560644073082E-2</v>
      </c>
      <c r="G18" s="203">
        <v>17904</v>
      </c>
      <c r="H18" s="176">
        <f t="shared" si="1"/>
        <v>5.9446395481223954E-3</v>
      </c>
      <c r="I18" s="203">
        <f t="shared" si="4"/>
        <v>32221</v>
      </c>
      <c r="J18" s="280">
        <f t="shared" si="5"/>
        <v>30188</v>
      </c>
      <c r="K18" s="178">
        <f t="shared" si="2"/>
        <v>7.6347268286243077E-3</v>
      </c>
      <c r="L18" s="79">
        <f t="shared" si="7"/>
        <v>7369</v>
      </c>
      <c r="M18" s="197">
        <f t="shared" si="8"/>
        <v>1750</v>
      </c>
      <c r="N18" s="197"/>
      <c r="O18" s="249">
        <f t="shared" si="9"/>
        <v>5619</v>
      </c>
      <c r="P18" s="119">
        <f t="shared" si="6"/>
        <v>1626</v>
      </c>
      <c r="Q18" s="80">
        <f t="shared" si="3"/>
        <v>-118</v>
      </c>
      <c r="R18" s="182">
        <f t="shared" si="10"/>
        <v>-2.0568241241066761E-2</v>
      </c>
      <c r="S18" s="78"/>
      <c r="T18" s="195">
        <v>7337</v>
      </c>
      <c r="U18" s="197">
        <v>1600</v>
      </c>
      <c r="V18" s="197"/>
      <c r="W18" s="196">
        <v>5737</v>
      </c>
      <c r="X18" s="234">
        <v>1649</v>
      </c>
      <c r="Z18" s="177"/>
      <c r="AA18" s="265"/>
      <c r="AB18" s="80"/>
      <c r="AC18" s="80"/>
      <c r="AD18" s="266"/>
      <c r="AE18" s="80"/>
      <c r="AF18" s="266"/>
      <c r="AG18" s="266"/>
      <c r="AH18" s="265"/>
      <c r="AI18" s="80"/>
    </row>
    <row r="19" spans="1:35" ht="12.75" customHeight="1">
      <c r="A19" s="96">
        <v>11</v>
      </c>
      <c r="B19" s="129" t="s">
        <v>203</v>
      </c>
      <c r="C19" s="287">
        <v>23140</v>
      </c>
      <c r="D19" s="279">
        <v>31323</v>
      </c>
      <c r="E19" s="210">
        <v>10283</v>
      </c>
      <c r="F19" s="176">
        <f t="shared" si="0"/>
        <v>7.2876358946010683E-3</v>
      </c>
      <c r="G19" s="203">
        <v>21700</v>
      </c>
      <c r="H19" s="176">
        <f t="shared" si="1"/>
        <v>7.2050200063815892E-3</v>
      </c>
      <c r="I19" s="203">
        <f t="shared" si="4"/>
        <v>31983</v>
      </c>
      <c r="J19" s="280">
        <f t="shared" si="5"/>
        <v>28815</v>
      </c>
      <c r="K19" s="178">
        <f t="shared" si="2"/>
        <v>7.2874868678550891E-3</v>
      </c>
      <c r="L19" s="79">
        <f t="shared" si="7"/>
        <v>7033</v>
      </c>
      <c r="M19" s="197">
        <f t="shared" si="8"/>
        <v>1750</v>
      </c>
      <c r="N19" s="197"/>
      <c r="O19" s="249">
        <f t="shared" si="9"/>
        <v>5283</v>
      </c>
      <c r="P19" s="119">
        <f t="shared" si="6"/>
        <v>1552</v>
      </c>
      <c r="Q19" s="80">
        <f t="shared" si="3"/>
        <v>399</v>
      </c>
      <c r="R19" s="182">
        <f t="shared" si="10"/>
        <v>8.1695331695331691E-2</v>
      </c>
      <c r="S19" s="78"/>
      <c r="T19" s="195">
        <v>6484</v>
      </c>
      <c r="U19" s="197">
        <v>1600</v>
      </c>
      <c r="V19" s="197"/>
      <c r="W19" s="196">
        <v>4884</v>
      </c>
      <c r="X19" s="234">
        <v>1457</v>
      </c>
      <c r="Z19" s="177"/>
      <c r="AA19" s="265"/>
      <c r="AB19" s="80"/>
      <c r="AC19" s="80"/>
      <c r="AD19" s="266"/>
      <c r="AE19" s="80"/>
      <c r="AF19" s="266"/>
      <c r="AG19" s="266"/>
      <c r="AH19" s="265"/>
      <c r="AI19" s="80"/>
    </row>
    <row r="20" spans="1:35" ht="12" customHeight="1">
      <c r="A20" s="96">
        <v>12</v>
      </c>
      <c r="B20" s="72" t="s">
        <v>204</v>
      </c>
      <c r="C20" s="287">
        <v>16419</v>
      </c>
      <c r="D20" s="279">
        <v>16037</v>
      </c>
      <c r="E20" s="210">
        <v>9754</v>
      </c>
      <c r="F20" s="176">
        <f t="shared" si="0"/>
        <v>6.9127297983019378E-3</v>
      </c>
      <c r="G20" s="203">
        <v>5791</v>
      </c>
      <c r="H20" s="176">
        <f t="shared" si="1"/>
        <v>1.9227774588458887E-3</v>
      </c>
      <c r="I20" s="203">
        <f t="shared" si="4"/>
        <v>15545</v>
      </c>
      <c r="J20" s="280">
        <f t="shared" si="5"/>
        <v>16000</v>
      </c>
      <c r="K20" s="178">
        <f t="shared" si="2"/>
        <v>4.0464962653368533E-3</v>
      </c>
      <c r="L20" s="79">
        <f t="shared" si="7"/>
        <v>3905</v>
      </c>
      <c r="M20" s="197">
        <f t="shared" si="8"/>
        <v>1750</v>
      </c>
      <c r="N20" s="197"/>
      <c r="O20" s="249">
        <f t="shared" si="9"/>
        <v>2155</v>
      </c>
      <c r="P20" s="119">
        <f t="shared" si="6"/>
        <v>862</v>
      </c>
      <c r="Q20" s="80">
        <f t="shared" si="3"/>
        <v>-174</v>
      </c>
      <c r="R20" s="182">
        <f t="shared" si="10"/>
        <v>-7.4710176041219406E-2</v>
      </c>
      <c r="S20" s="78"/>
      <c r="T20" s="195">
        <v>3929</v>
      </c>
      <c r="U20" s="197">
        <v>1600</v>
      </c>
      <c r="V20" s="197"/>
      <c r="W20" s="196">
        <v>2329</v>
      </c>
      <c r="X20" s="234">
        <v>883</v>
      </c>
      <c r="Z20" s="177"/>
      <c r="AA20" s="265"/>
      <c r="AB20" s="80"/>
      <c r="AC20" s="80"/>
      <c r="AD20" s="266"/>
      <c r="AE20" s="80"/>
      <c r="AF20" s="266"/>
      <c r="AG20" s="266"/>
      <c r="AH20" s="265"/>
      <c r="AI20" s="80"/>
    </row>
    <row r="21" spans="1:35">
      <c r="A21" s="96">
        <v>13</v>
      </c>
      <c r="B21" s="129" t="s">
        <v>205</v>
      </c>
      <c r="C21" s="287">
        <v>35997</v>
      </c>
      <c r="D21" s="279">
        <v>41791</v>
      </c>
      <c r="E21" s="210">
        <v>16847</v>
      </c>
      <c r="F21" s="176">
        <f t="shared" si="0"/>
        <v>1.1939589800286317E-2</v>
      </c>
      <c r="G21" s="203">
        <v>31772</v>
      </c>
      <c r="H21" s="176">
        <f t="shared" si="1"/>
        <v>1.054921178077216E-2</v>
      </c>
      <c r="I21" s="203">
        <f t="shared" si="4"/>
        <v>48619</v>
      </c>
      <c r="J21" s="280">
        <f t="shared" si="5"/>
        <v>42136</v>
      </c>
      <c r="K21" s="178">
        <f t="shared" si="2"/>
        <v>1.0656447914764602E-2</v>
      </c>
      <c r="L21" s="79">
        <f t="shared" si="7"/>
        <v>10285</v>
      </c>
      <c r="M21" s="197">
        <f t="shared" si="8"/>
        <v>1750</v>
      </c>
      <c r="N21" s="197"/>
      <c r="O21" s="249">
        <f t="shared" si="9"/>
        <v>8535</v>
      </c>
      <c r="P21" s="119">
        <f t="shared" si="6"/>
        <v>2270</v>
      </c>
      <c r="Q21" s="80">
        <f t="shared" si="3"/>
        <v>829</v>
      </c>
      <c r="R21" s="182">
        <f t="shared" si="10"/>
        <v>0.10757851025175189</v>
      </c>
      <c r="S21" s="78"/>
      <c r="T21" s="195">
        <v>9306</v>
      </c>
      <c r="U21" s="197">
        <v>1600</v>
      </c>
      <c r="V21" s="197"/>
      <c r="W21" s="196">
        <v>7706</v>
      </c>
      <c r="X21" s="234">
        <v>2092</v>
      </c>
      <c r="Z21" s="177"/>
      <c r="AA21" s="265"/>
      <c r="AB21" s="80"/>
      <c r="AC21" s="80"/>
      <c r="AD21" s="266"/>
      <c r="AE21" s="80"/>
      <c r="AF21" s="266"/>
      <c r="AG21" s="266"/>
      <c r="AH21" s="265"/>
      <c r="AI21" s="80"/>
    </row>
    <row r="22" spans="1:35">
      <c r="A22" s="96">
        <v>14</v>
      </c>
      <c r="B22" s="72" t="s">
        <v>206</v>
      </c>
      <c r="C22" s="287">
        <v>220187</v>
      </c>
      <c r="D22" s="279">
        <v>248622</v>
      </c>
      <c r="E22" s="210">
        <v>103137</v>
      </c>
      <c r="F22" s="176">
        <f t="shared" si="0"/>
        <v>7.309393204915593E-2</v>
      </c>
      <c r="G22" s="203">
        <v>195734</v>
      </c>
      <c r="H22" s="176">
        <f t="shared" si="1"/>
        <v>6.4989280457561929E-2</v>
      </c>
      <c r="I22" s="203">
        <f t="shared" si="4"/>
        <v>298871</v>
      </c>
      <c r="J22" s="280">
        <f t="shared" si="5"/>
        <v>255893</v>
      </c>
      <c r="K22" s="178">
        <f t="shared" si="2"/>
        <v>6.471687930161521E-2</v>
      </c>
      <c r="L22" s="79">
        <f t="shared" si="7"/>
        <v>62461</v>
      </c>
      <c r="M22" s="197">
        <f t="shared" si="8"/>
        <v>1750</v>
      </c>
      <c r="N22" s="245">
        <f>K70*M3</f>
        <v>2334.9456670015429</v>
      </c>
      <c r="O22" s="249">
        <f t="shared" si="9"/>
        <v>58376.054332998458</v>
      </c>
      <c r="P22" s="119">
        <f t="shared" si="6"/>
        <v>13784</v>
      </c>
      <c r="Q22" s="80">
        <f t="shared" si="3"/>
        <v>6078.3148723928753</v>
      </c>
      <c r="R22" s="182">
        <f t="shared" si="10"/>
        <v>0.11622519319351268</v>
      </c>
      <c r="S22" s="78"/>
      <c r="T22" s="195">
        <v>58298</v>
      </c>
      <c r="U22" s="197">
        <v>1600</v>
      </c>
      <c r="V22" s="197">
        <v>4400.2605393944159</v>
      </c>
      <c r="W22" s="196">
        <v>52297.739460605582</v>
      </c>
      <c r="X22" s="234">
        <v>13104</v>
      </c>
      <c r="Z22" s="177"/>
      <c r="AA22" s="265"/>
      <c r="AB22" s="80"/>
      <c r="AC22" s="80"/>
      <c r="AD22" s="266"/>
      <c r="AE22" s="80"/>
      <c r="AF22" s="266"/>
      <c r="AG22" s="266"/>
      <c r="AH22" s="265"/>
      <c r="AI22" s="80"/>
    </row>
    <row r="23" spans="1:35">
      <c r="A23" s="96">
        <v>15</v>
      </c>
      <c r="B23" s="72" t="s">
        <v>207</v>
      </c>
      <c r="C23" s="287">
        <v>33995</v>
      </c>
      <c r="D23" s="279">
        <v>35807</v>
      </c>
      <c r="E23" s="210">
        <v>20341</v>
      </c>
      <c r="F23" s="176">
        <f t="shared" si="0"/>
        <v>1.4415812674519142E-2</v>
      </c>
      <c r="G23" s="203">
        <v>20007</v>
      </c>
      <c r="H23" s="176">
        <f t="shared" si="1"/>
        <v>6.6428956344551362E-3</v>
      </c>
      <c r="I23" s="203">
        <f t="shared" si="4"/>
        <v>40348</v>
      </c>
      <c r="J23" s="280">
        <f t="shared" si="5"/>
        <v>36717</v>
      </c>
      <c r="K23" s="178">
        <f t="shared" si="2"/>
        <v>9.2859502108983277E-3</v>
      </c>
      <c r="L23" s="79">
        <f t="shared" si="7"/>
        <v>8962</v>
      </c>
      <c r="M23" s="197">
        <f t="shared" si="8"/>
        <v>1750</v>
      </c>
      <c r="N23" s="197"/>
      <c r="O23" s="249">
        <f t="shared" si="9"/>
        <v>7212</v>
      </c>
      <c r="P23" s="119">
        <f t="shared" si="6"/>
        <v>1978</v>
      </c>
      <c r="Q23" s="80">
        <f t="shared" si="3"/>
        <v>319</v>
      </c>
      <c r="R23" s="182">
        <f t="shared" si="10"/>
        <v>4.627883359930364E-2</v>
      </c>
      <c r="S23" s="78"/>
      <c r="T23" s="195">
        <v>8493</v>
      </c>
      <c r="U23" s="197">
        <v>1600</v>
      </c>
      <c r="V23" s="197"/>
      <c r="W23" s="196">
        <v>6893</v>
      </c>
      <c r="X23" s="234">
        <v>1909</v>
      </c>
      <c r="Z23" s="177"/>
      <c r="AA23" s="265"/>
      <c r="AB23" s="80"/>
      <c r="AC23" s="80"/>
      <c r="AD23" s="266"/>
      <c r="AE23" s="80"/>
      <c r="AF23" s="266"/>
      <c r="AG23" s="266"/>
      <c r="AH23" s="265"/>
      <c r="AI23" s="80"/>
    </row>
    <row r="24" spans="1:35">
      <c r="A24" s="96">
        <v>16</v>
      </c>
      <c r="B24" s="72" t="s">
        <v>208</v>
      </c>
      <c r="C24" s="287">
        <v>40214</v>
      </c>
      <c r="D24" s="279">
        <v>44261</v>
      </c>
      <c r="E24" s="210">
        <v>11537</v>
      </c>
      <c r="F24" s="176">
        <f t="shared" si="0"/>
        <v>8.1763546937676287E-3</v>
      </c>
      <c r="G24" s="203">
        <v>30323</v>
      </c>
      <c r="H24" s="176">
        <f t="shared" si="1"/>
        <v>1.0068102380346033E-2</v>
      </c>
      <c r="I24" s="203">
        <f t="shared" si="4"/>
        <v>41860</v>
      </c>
      <c r="J24" s="280">
        <f t="shared" si="5"/>
        <v>42112</v>
      </c>
      <c r="K24" s="178">
        <f t="shared" si="2"/>
        <v>1.0650378170366598E-2</v>
      </c>
      <c r="L24" s="79">
        <f t="shared" si="7"/>
        <v>10279</v>
      </c>
      <c r="M24" s="197">
        <f t="shared" si="8"/>
        <v>1750</v>
      </c>
      <c r="N24" s="197"/>
      <c r="O24" s="249">
        <f t="shared" si="9"/>
        <v>8529</v>
      </c>
      <c r="P24" s="119">
        <f t="shared" si="6"/>
        <v>2268</v>
      </c>
      <c r="Q24" s="80">
        <f t="shared" si="3"/>
        <v>972</v>
      </c>
      <c r="R24" s="182">
        <f t="shared" si="10"/>
        <v>0.12862246923382295</v>
      </c>
      <c r="S24" s="78"/>
      <c r="T24" s="195">
        <v>9157</v>
      </c>
      <c r="U24" s="197">
        <v>1600</v>
      </c>
      <c r="V24" s="197"/>
      <c r="W24" s="196">
        <v>7557</v>
      </c>
      <c r="X24" s="234">
        <v>2058</v>
      </c>
      <c r="Z24" s="177"/>
      <c r="AA24" s="265"/>
      <c r="AB24" s="80"/>
      <c r="AC24" s="80"/>
      <c r="AD24" s="266"/>
      <c r="AE24" s="80"/>
      <c r="AF24" s="266"/>
      <c r="AG24" s="266"/>
      <c r="AH24" s="265"/>
      <c r="AI24" s="80"/>
    </row>
    <row r="25" spans="1:35">
      <c r="A25" s="96">
        <v>17</v>
      </c>
      <c r="B25" s="129" t="s">
        <v>385</v>
      </c>
      <c r="C25" s="287">
        <v>30684</v>
      </c>
      <c r="D25" s="279">
        <v>30403</v>
      </c>
      <c r="E25" s="210">
        <v>14447</v>
      </c>
      <c r="F25" s="176">
        <f t="shared" si="0"/>
        <v>1.0238692577001034E-2</v>
      </c>
      <c r="G25" s="203">
        <v>14427</v>
      </c>
      <c r="H25" s="176">
        <f t="shared" si="1"/>
        <v>4.7901762042427279E-3</v>
      </c>
      <c r="I25" s="203">
        <f t="shared" si="4"/>
        <v>28874</v>
      </c>
      <c r="J25" s="280">
        <f t="shared" ref="J25" si="11">ROUND((C25+D25+I25)/3,0)</f>
        <v>29987</v>
      </c>
      <c r="K25" s="178">
        <f t="shared" si="2"/>
        <v>7.5838927192910131E-3</v>
      </c>
      <c r="L25" s="79">
        <f t="shared" si="7"/>
        <v>7320</v>
      </c>
      <c r="M25" s="197">
        <v>875</v>
      </c>
      <c r="N25" s="197"/>
      <c r="O25" s="249">
        <f t="shared" ref="O25" si="12">L25-M25-N25</f>
        <v>6445</v>
      </c>
      <c r="P25" s="119">
        <f t="shared" ref="P25" si="13">ROUND(K25*$H$5,0)</f>
        <v>1615</v>
      </c>
      <c r="Q25" s="80">
        <f t="shared" ref="Q25" si="14">O25-W25</f>
        <v>6445</v>
      </c>
      <c r="R25" s="182" t="s">
        <v>328</v>
      </c>
      <c r="S25" s="78"/>
      <c r="T25" s="195"/>
      <c r="U25" s="197"/>
      <c r="V25" s="197"/>
      <c r="W25" s="196"/>
      <c r="X25" s="234"/>
      <c r="Z25" s="177"/>
      <c r="AA25" s="265"/>
      <c r="AB25" s="80"/>
      <c r="AC25" s="80"/>
      <c r="AD25" s="266"/>
      <c r="AE25" s="80"/>
      <c r="AF25" s="266"/>
      <c r="AG25" s="266"/>
      <c r="AH25" s="265"/>
      <c r="AI25" s="80"/>
    </row>
    <row r="26" spans="1:35">
      <c r="A26" s="96">
        <v>18</v>
      </c>
      <c r="B26" s="129" t="s">
        <v>209</v>
      </c>
      <c r="C26" s="287">
        <v>69370</v>
      </c>
      <c r="D26" s="279">
        <v>76838</v>
      </c>
      <c r="E26" s="210">
        <v>29611</v>
      </c>
      <c r="F26" s="176">
        <f t="shared" si="0"/>
        <v>2.0985528199458547E-2</v>
      </c>
      <c r="G26" s="203">
        <v>45924</v>
      </c>
      <c r="H26" s="176">
        <f t="shared" si="1"/>
        <v>1.5248080127791157E-2</v>
      </c>
      <c r="I26" s="203">
        <f t="shared" si="4"/>
        <v>75535</v>
      </c>
      <c r="J26" s="280">
        <f t="shared" si="5"/>
        <v>73914</v>
      </c>
      <c r="K26" s="178">
        <f t="shared" si="2"/>
        <v>1.8693295309756761E-2</v>
      </c>
      <c r="L26" s="79">
        <f t="shared" si="7"/>
        <v>18042</v>
      </c>
      <c r="M26" s="197">
        <f t="shared" si="8"/>
        <v>1750</v>
      </c>
      <c r="N26" s="197"/>
      <c r="O26" s="249">
        <f t="shared" si="9"/>
        <v>16292</v>
      </c>
      <c r="P26" s="119">
        <f t="shared" si="6"/>
        <v>3981</v>
      </c>
      <c r="Q26" s="80">
        <f t="shared" si="3"/>
        <v>471</v>
      </c>
      <c r="R26" s="182">
        <f t="shared" si="10"/>
        <v>2.977055811895582E-2</v>
      </c>
      <c r="S26" s="78"/>
      <c r="T26" s="195">
        <v>17421</v>
      </c>
      <c r="U26" s="197">
        <v>1600</v>
      </c>
      <c r="V26" s="197"/>
      <c r="W26" s="196">
        <v>15821</v>
      </c>
      <c r="X26" s="234">
        <v>3916</v>
      </c>
      <c r="Z26" s="177"/>
      <c r="AA26" s="265"/>
      <c r="AB26" s="80"/>
      <c r="AC26" s="80"/>
      <c r="AD26" s="266"/>
      <c r="AE26" s="80"/>
      <c r="AF26" s="266"/>
      <c r="AG26" s="266"/>
      <c r="AH26" s="265"/>
      <c r="AI26" s="80"/>
    </row>
    <row r="27" spans="1:35">
      <c r="A27" s="96">
        <v>19</v>
      </c>
      <c r="B27" s="129" t="s">
        <v>347</v>
      </c>
      <c r="C27" s="287">
        <v>22000</v>
      </c>
      <c r="D27" s="279">
        <v>22893</v>
      </c>
      <c r="E27" s="210">
        <v>15329</v>
      </c>
      <c r="F27" s="176">
        <f t="shared" si="0"/>
        <v>1.0863772306558377E-2</v>
      </c>
      <c r="G27" s="203">
        <v>5478</v>
      </c>
      <c r="H27" s="176">
        <f t="shared" si="1"/>
        <v>1.8188525158966979E-3</v>
      </c>
      <c r="I27" s="203">
        <f t="shared" si="4"/>
        <v>20807</v>
      </c>
      <c r="J27" s="280">
        <f t="shared" si="5"/>
        <v>21900</v>
      </c>
      <c r="K27" s="299">
        <f t="shared" si="2"/>
        <v>5.5386417631798175E-3</v>
      </c>
      <c r="L27" s="79">
        <f t="shared" si="7"/>
        <v>5346</v>
      </c>
      <c r="M27" s="197">
        <v>0</v>
      </c>
      <c r="N27" s="197"/>
      <c r="O27" s="249">
        <f t="shared" si="9"/>
        <v>5346</v>
      </c>
      <c r="P27" s="119">
        <f t="shared" si="6"/>
        <v>1180</v>
      </c>
      <c r="Q27" s="298" t="s">
        <v>328</v>
      </c>
      <c r="R27" s="182">
        <f t="shared" si="10"/>
        <v>0.11537659086167328</v>
      </c>
      <c r="S27" s="78"/>
      <c r="T27" s="195">
        <v>4793</v>
      </c>
      <c r="U27" s="197">
        <v>0</v>
      </c>
      <c r="V27" s="197"/>
      <c r="W27" s="196">
        <v>4793</v>
      </c>
      <c r="X27" s="234">
        <v>1077</v>
      </c>
      <c r="Z27" s="177"/>
      <c r="AA27" s="265"/>
      <c r="AB27" s="80"/>
      <c r="AC27" s="80"/>
      <c r="AD27" s="266"/>
      <c r="AE27" s="80"/>
      <c r="AF27" s="266"/>
      <c r="AG27" s="266"/>
      <c r="AH27" s="265"/>
      <c r="AI27" s="80"/>
    </row>
    <row r="28" spans="1:35">
      <c r="A28" s="96">
        <v>20</v>
      </c>
      <c r="B28" s="72" t="s">
        <v>210</v>
      </c>
      <c r="C28" s="287">
        <v>15551</v>
      </c>
      <c r="D28" s="279">
        <v>17592</v>
      </c>
      <c r="E28" s="210">
        <v>10055</v>
      </c>
      <c r="F28" s="176">
        <f t="shared" si="0"/>
        <v>7.1260506583889667E-3</v>
      </c>
      <c r="G28" s="203">
        <v>10280</v>
      </c>
      <c r="H28" s="176">
        <f t="shared" si="1"/>
        <v>3.4132537173088818E-3</v>
      </c>
      <c r="I28" s="203">
        <f t="shared" si="4"/>
        <v>20335</v>
      </c>
      <c r="J28" s="280">
        <f t="shared" si="5"/>
        <v>17826</v>
      </c>
      <c r="K28" s="178">
        <f t="shared" si="2"/>
        <v>4.5083026516184212E-3</v>
      </c>
      <c r="L28" s="79">
        <f t="shared" si="7"/>
        <v>4351</v>
      </c>
      <c r="M28" s="197">
        <f t="shared" si="8"/>
        <v>1750</v>
      </c>
      <c r="N28" s="197"/>
      <c r="O28" s="249">
        <f t="shared" si="9"/>
        <v>2601</v>
      </c>
      <c r="P28" s="119">
        <f t="shared" si="6"/>
        <v>960</v>
      </c>
      <c r="Q28" s="80">
        <f t="shared" si="3"/>
        <v>396</v>
      </c>
      <c r="R28" s="182">
        <f t="shared" ref="R28:R40" si="15">(O28-W28)/W28</f>
        <v>0.17959183673469387</v>
      </c>
      <c r="S28" s="78"/>
      <c r="T28" s="195">
        <v>3805</v>
      </c>
      <c r="U28" s="197">
        <v>1600</v>
      </c>
      <c r="V28" s="197"/>
      <c r="W28" s="196">
        <v>2205</v>
      </c>
      <c r="X28" s="234">
        <v>855</v>
      </c>
      <c r="Z28" s="177"/>
      <c r="AA28" s="265"/>
      <c r="AB28" s="80"/>
      <c r="AC28" s="80"/>
      <c r="AD28" s="266"/>
      <c r="AE28" s="80"/>
      <c r="AF28" s="266"/>
      <c r="AG28" s="266"/>
      <c r="AH28" s="265"/>
      <c r="AI28" s="80"/>
    </row>
    <row r="29" spans="1:35">
      <c r="A29" s="96">
        <v>21</v>
      </c>
      <c r="B29" s="72" t="s">
        <v>211</v>
      </c>
      <c r="C29" s="287">
        <v>17819</v>
      </c>
      <c r="D29" s="279">
        <v>16450</v>
      </c>
      <c r="E29" s="210">
        <v>8712</v>
      </c>
      <c r="F29" s="176">
        <f t="shared" si="0"/>
        <v>6.1742569205255771E-3</v>
      </c>
      <c r="G29" s="203">
        <v>9268</v>
      </c>
      <c r="H29" s="176">
        <f t="shared" si="1"/>
        <v>3.0772408027255563E-3</v>
      </c>
      <c r="I29" s="203">
        <f t="shared" si="4"/>
        <v>17980</v>
      </c>
      <c r="J29" s="280">
        <f t="shared" si="5"/>
        <v>17416</v>
      </c>
      <c r="K29" s="178">
        <f t="shared" si="2"/>
        <v>4.4046111848191644E-3</v>
      </c>
      <c r="L29" s="79">
        <f t="shared" si="7"/>
        <v>4251</v>
      </c>
      <c r="M29" s="197">
        <f t="shared" si="8"/>
        <v>1750</v>
      </c>
      <c r="N29" s="197"/>
      <c r="O29" s="249">
        <f t="shared" si="9"/>
        <v>2501</v>
      </c>
      <c r="P29" s="119">
        <f t="shared" si="6"/>
        <v>938</v>
      </c>
      <c r="Q29" s="80">
        <f t="shared" si="3"/>
        <v>-371</v>
      </c>
      <c r="R29" s="182">
        <f t="shared" si="15"/>
        <v>-0.12917827298050139</v>
      </c>
      <c r="S29" s="78"/>
      <c r="T29" s="195">
        <v>4472</v>
      </c>
      <c r="U29" s="197">
        <v>1600</v>
      </c>
      <c r="V29" s="197"/>
      <c r="W29" s="196">
        <v>2872</v>
      </c>
      <c r="X29" s="234">
        <v>1005</v>
      </c>
      <c r="Z29" s="177"/>
      <c r="AA29" s="265"/>
      <c r="AB29" s="80"/>
      <c r="AC29" s="80"/>
      <c r="AD29" s="266"/>
      <c r="AE29" s="80"/>
      <c r="AF29" s="266"/>
      <c r="AG29" s="266"/>
      <c r="AH29" s="265"/>
      <c r="AI29" s="80"/>
    </row>
    <row r="30" spans="1:35">
      <c r="A30" s="96">
        <v>22</v>
      </c>
      <c r="B30" s="129" t="s">
        <v>348</v>
      </c>
      <c r="C30" s="287">
        <v>50000</v>
      </c>
      <c r="D30" s="279">
        <v>58551</v>
      </c>
      <c r="E30" s="210">
        <v>22417</v>
      </c>
      <c r="F30" s="176">
        <f t="shared" si="0"/>
        <v>1.5887088772660912E-2</v>
      </c>
      <c r="G30" s="203">
        <v>22691</v>
      </c>
      <c r="H30" s="176">
        <f t="shared" si="1"/>
        <v>7.5340603209587392E-3</v>
      </c>
      <c r="I30" s="203">
        <f t="shared" si="4"/>
        <v>45108</v>
      </c>
      <c r="J30" s="280">
        <f t="shared" si="5"/>
        <v>51220</v>
      </c>
      <c r="K30" s="299">
        <f t="shared" si="2"/>
        <v>1.2953846169409601E-2</v>
      </c>
      <c r="L30" s="79">
        <f>ROUND(K30*$G$5,0)</f>
        <v>12502</v>
      </c>
      <c r="M30" s="197">
        <f>IF(L30&lt;($M$2*2), L30/2,$M$2)</f>
        <v>1750</v>
      </c>
      <c r="N30" s="197"/>
      <c r="O30" s="249">
        <f>L30-M30-N30</f>
        <v>10752</v>
      </c>
      <c r="P30" s="249">
        <f>ROUND(K30*$H$5,0)</f>
        <v>2759</v>
      </c>
      <c r="Q30" s="298" t="s">
        <v>328</v>
      </c>
      <c r="R30" s="182">
        <f t="shared" si="15"/>
        <v>0.10175222871195819</v>
      </c>
      <c r="S30" s="78"/>
      <c r="T30" s="195">
        <v>11359</v>
      </c>
      <c r="U30" s="197">
        <v>1600</v>
      </c>
      <c r="V30" s="197"/>
      <c r="W30" s="196">
        <v>9759</v>
      </c>
      <c r="X30" s="234">
        <v>2553</v>
      </c>
      <c r="Z30" s="177"/>
      <c r="AA30" s="265"/>
      <c r="AB30" s="80"/>
      <c r="AC30" s="80"/>
      <c r="AD30" s="266"/>
      <c r="AE30" s="80"/>
      <c r="AF30" s="266"/>
      <c r="AG30" s="266"/>
      <c r="AH30" s="265"/>
      <c r="AI30" s="80"/>
    </row>
    <row r="31" spans="1:35" ht="12" customHeight="1">
      <c r="A31" s="96">
        <v>23</v>
      </c>
      <c r="B31" s="72" t="s">
        <v>167</v>
      </c>
      <c r="C31" s="287">
        <v>522474</v>
      </c>
      <c r="D31" s="279">
        <v>555406</v>
      </c>
      <c r="E31" s="210">
        <v>126661</v>
      </c>
      <c r="F31" s="176">
        <f t="shared" si="0"/>
        <v>8.9765559666057176E-2</v>
      </c>
      <c r="G31" s="203">
        <v>574350</v>
      </c>
      <c r="H31" s="176">
        <f t="shared" si="1"/>
        <v>0.19070061016890624</v>
      </c>
      <c r="I31" s="203">
        <f t="shared" si="4"/>
        <v>701011</v>
      </c>
      <c r="J31" s="280">
        <f t="shared" si="5"/>
        <v>592964</v>
      </c>
      <c r="K31" s="178">
        <f t="shared" si="2"/>
        <v>0.1499641632174501</v>
      </c>
      <c r="L31" s="79">
        <f t="shared" si="7"/>
        <v>144737</v>
      </c>
      <c r="M31" s="197">
        <f t="shared" si="8"/>
        <v>1750</v>
      </c>
      <c r="N31" s="245">
        <f>K69*M3</f>
        <v>5410.6158530632056</v>
      </c>
      <c r="O31" s="249">
        <f t="shared" si="9"/>
        <v>137576.38414693679</v>
      </c>
      <c r="P31" s="119">
        <f t="shared" si="6"/>
        <v>31940</v>
      </c>
      <c r="Q31" s="80">
        <f t="shared" si="3"/>
        <v>2535.850404570665</v>
      </c>
      <c r="R31" s="182">
        <f t="shared" si="15"/>
        <v>1.8778438845692264E-2</v>
      </c>
      <c r="S31" s="78"/>
      <c r="T31" s="195">
        <v>147796</v>
      </c>
      <c r="U31" s="197">
        <v>1600</v>
      </c>
      <c r="V31" s="197">
        <v>11155.466257633878</v>
      </c>
      <c r="W31" s="196">
        <v>135040.53374236613</v>
      </c>
      <c r="X31" s="234">
        <v>33220</v>
      </c>
      <c r="Z31" s="177"/>
      <c r="AA31" s="265"/>
      <c r="AB31" s="80"/>
      <c r="AC31" s="80"/>
      <c r="AD31" s="266"/>
      <c r="AE31" s="80"/>
      <c r="AF31" s="266"/>
      <c r="AG31" s="266"/>
      <c r="AH31" s="265"/>
      <c r="AI31" s="80"/>
    </row>
    <row r="32" spans="1:35">
      <c r="A32" s="96">
        <v>24</v>
      </c>
      <c r="B32" s="72" t="s">
        <v>212</v>
      </c>
      <c r="C32" s="287">
        <v>56558</v>
      </c>
      <c r="D32" s="279">
        <v>65100</v>
      </c>
      <c r="E32" s="210">
        <v>24225</v>
      </c>
      <c r="F32" s="176">
        <f t="shared" si="0"/>
        <v>1.7168431347535824E-2</v>
      </c>
      <c r="G32" s="203">
        <v>48220</v>
      </c>
      <c r="H32" s="176">
        <f t="shared" si="1"/>
        <v>1.601041772846637E-2</v>
      </c>
      <c r="I32" s="203">
        <f t="shared" si="4"/>
        <v>72445</v>
      </c>
      <c r="J32" s="280">
        <f t="shared" si="5"/>
        <v>64701</v>
      </c>
      <c r="K32" s="178">
        <f t="shared" si="2"/>
        <v>1.6363272178972484E-2</v>
      </c>
      <c r="L32" s="79">
        <f t="shared" si="7"/>
        <v>15793</v>
      </c>
      <c r="M32" s="197">
        <f t="shared" si="8"/>
        <v>1750</v>
      </c>
      <c r="N32" s="197"/>
      <c r="O32" s="249">
        <f t="shared" si="9"/>
        <v>14043</v>
      </c>
      <c r="P32" s="119">
        <f t="shared" si="6"/>
        <v>3485</v>
      </c>
      <c r="Q32" s="80">
        <f t="shared" si="3"/>
        <v>484</v>
      </c>
      <c r="R32" s="182">
        <f t="shared" si="15"/>
        <v>3.5695847776384688E-2</v>
      </c>
      <c r="S32" s="78"/>
      <c r="T32" s="195">
        <v>15159</v>
      </c>
      <c r="U32" s="197">
        <v>1600</v>
      </c>
      <c r="V32" s="197"/>
      <c r="W32" s="196">
        <v>13559</v>
      </c>
      <c r="X32" s="234">
        <v>3407</v>
      </c>
      <c r="Z32" s="177"/>
      <c r="AA32" s="265"/>
      <c r="AB32" s="80"/>
      <c r="AC32" s="80"/>
      <c r="AD32" s="266"/>
      <c r="AE32" s="80"/>
      <c r="AF32" s="266"/>
      <c r="AG32" s="266"/>
      <c r="AH32" s="265"/>
      <c r="AI32" s="80"/>
    </row>
    <row r="33" spans="1:35">
      <c r="A33" s="96">
        <v>25</v>
      </c>
      <c r="B33" s="72" t="s">
        <v>213</v>
      </c>
      <c r="C33" s="287">
        <v>15945</v>
      </c>
      <c r="D33" s="279">
        <v>19097</v>
      </c>
      <c r="E33" s="210">
        <v>7551</v>
      </c>
      <c r="F33" s="176">
        <f t="shared" si="0"/>
        <v>5.351447888761322E-3</v>
      </c>
      <c r="G33" s="203">
        <v>11923</v>
      </c>
      <c r="H33" s="176">
        <f t="shared" si="1"/>
        <v>3.9587766606492018E-3</v>
      </c>
      <c r="I33" s="203">
        <f t="shared" si="4"/>
        <v>19474</v>
      </c>
      <c r="J33" s="280">
        <f t="shared" si="5"/>
        <v>18172</v>
      </c>
      <c r="K33" s="178">
        <f t="shared" si="2"/>
        <v>4.595808133356331E-3</v>
      </c>
      <c r="L33" s="79">
        <f t="shared" si="7"/>
        <v>4436</v>
      </c>
      <c r="M33" s="197">
        <f t="shared" si="8"/>
        <v>1750</v>
      </c>
      <c r="N33" s="197"/>
      <c r="O33" s="249">
        <f t="shared" si="9"/>
        <v>2686</v>
      </c>
      <c r="P33" s="119">
        <f t="shared" si="6"/>
        <v>979</v>
      </c>
      <c r="Q33" s="80">
        <f t="shared" si="3"/>
        <v>240</v>
      </c>
      <c r="R33" s="182">
        <f t="shared" si="15"/>
        <v>9.8119378577269017E-2</v>
      </c>
      <c r="S33" s="78"/>
      <c r="T33" s="195">
        <v>4046</v>
      </c>
      <c r="U33" s="197">
        <v>1600</v>
      </c>
      <c r="V33" s="197"/>
      <c r="W33" s="196">
        <v>2446</v>
      </c>
      <c r="X33" s="234">
        <v>909</v>
      </c>
      <c r="Z33" s="177"/>
      <c r="AA33" s="265"/>
      <c r="AB33" s="80"/>
      <c r="AC33" s="80"/>
      <c r="AD33" s="266"/>
      <c r="AE33" s="80"/>
      <c r="AF33" s="266"/>
      <c r="AG33" s="266"/>
      <c r="AH33" s="265"/>
      <c r="AI33" s="80"/>
    </row>
    <row r="34" spans="1:35">
      <c r="A34" s="96">
        <v>26</v>
      </c>
      <c r="B34" s="129" t="s">
        <v>329</v>
      </c>
      <c r="C34" s="287">
        <v>14730</v>
      </c>
      <c r="D34" s="279">
        <v>13368</v>
      </c>
      <c r="E34" s="210">
        <v>10460</v>
      </c>
      <c r="F34" s="176">
        <f t="shared" si="0"/>
        <v>7.4130770648183587E-3</v>
      </c>
      <c r="G34" s="203">
        <v>3574</v>
      </c>
      <c r="H34" s="176">
        <f t="shared" si="1"/>
        <v>1.186670115336765E-3</v>
      </c>
      <c r="I34" s="203">
        <f t="shared" si="4"/>
        <v>14034</v>
      </c>
      <c r="J34" s="280">
        <f t="shared" si="5"/>
        <v>14044</v>
      </c>
      <c r="K34" s="299">
        <f t="shared" si="2"/>
        <v>3.5518120968994226E-3</v>
      </c>
      <c r="L34" s="79">
        <f>ROUND(K34*$G$5,0)</f>
        <v>3428</v>
      </c>
      <c r="M34" s="197">
        <f>IF(L34&lt;($M$2*2), L34/2,$M$2)</f>
        <v>1714</v>
      </c>
      <c r="N34" s="197"/>
      <c r="O34" s="249">
        <f>L34-M34-N34</f>
        <v>1714</v>
      </c>
      <c r="P34" s="249">
        <f>ROUND(K34*$H$5,0)</f>
        <v>756</v>
      </c>
      <c r="Q34" s="80">
        <f t="shared" si="3"/>
        <v>277.5</v>
      </c>
      <c r="R34" s="182">
        <f t="shared" si="15"/>
        <v>0.19317786286112079</v>
      </c>
      <c r="S34" s="78"/>
      <c r="T34" s="195">
        <v>2873</v>
      </c>
      <c r="U34" s="197">
        <v>1436.5</v>
      </c>
      <c r="V34" s="197"/>
      <c r="W34" s="196">
        <v>1436.5</v>
      </c>
      <c r="X34" s="234">
        <v>646</v>
      </c>
      <c r="Z34" s="177"/>
      <c r="AA34" s="265"/>
      <c r="AB34" s="80"/>
      <c r="AC34" s="80"/>
      <c r="AD34" s="266"/>
      <c r="AE34" s="80"/>
      <c r="AF34" s="266"/>
      <c r="AG34" s="266"/>
      <c r="AH34" s="265"/>
      <c r="AI34" s="80"/>
    </row>
    <row r="35" spans="1:35">
      <c r="A35" s="96">
        <v>27</v>
      </c>
      <c r="B35" s="72" t="s">
        <v>214</v>
      </c>
      <c r="C35" s="287">
        <v>29469</v>
      </c>
      <c r="D35" s="279">
        <v>35056</v>
      </c>
      <c r="E35" s="210">
        <v>13723</v>
      </c>
      <c r="F35" s="176">
        <f t="shared" si="0"/>
        <v>9.7255885813099744E-3</v>
      </c>
      <c r="G35" s="203">
        <v>24220</v>
      </c>
      <c r="H35" s="176">
        <f t="shared" si="1"/>
        <v>8.0417320071226768E-3</v>
      </c>
      <c r="I35" s="203">
        <f t="shared" si="4"/>
        <v>37943</v>
      </c>
      <c r="J35" s="280">
        <f t="shared" si="5"/>
        <v>34156</v>
      </c>
      <c r="K35" s="178">
        <f t="shared" si="2"/>
        <v>8.6382579024278476E-3</v>
      </c>
      <c r="L35" s="79">
        <f t="shared" si="7"/>
        <v>8337</v>
      </c>
      <c r="M35" s="197">
        <f t="shared" si="8"/>
        <v>1750</v>
      </c>
      <c r="N35" s="197"/>
      <c r="O35" s="249">
        <f t="shared" si="9"/>
        <v>6587</v>
      </c>
      <c r="P35" s="119">
        <f t="shared" si="6"/>
        <v>1840</v>
      </c>
      <c r="Q35" s="80">
        <f t="shared" si="3"/>
        <v>307</v>
      </c>
      <c r="R35" s="182">
        <f t="shared" si="15"/>
        <v>4.8885350318471341E-2</v>
      </c>
      <c r="S35" s="78"/>
      <c r="T35" s="195">
        <v>7880</v>
      </c>
      <c r="U35" s="197">
        <v>1600</v>
      </c>
      <c r="V35" s="197"/>
      <c r="W35" s="196">
        <v>6280</v>
      </c>
      <c r="X35" s="234">
        <v>1771</v>
      </c>
      <c r="Z35" s="177"/>
      <c r="AA35" s="265"/>
      <c r="AB35" s="80"/>
      <c r="AC35" s="80"/>
      <c r="AD35" s="266"/>
      <c r="AE35" s="80"/>
      <c r="AF35" s="266"/>
      <c r="AG35" s="266"/>
      <c r="AH35" s="265"/>
      <c r="AI35" s="80"/>
    </row>
    <row r="36" spans="1:35">
      <c r="A36" s="96">
        <v>28</v>
      </c>
      <c r="B36" s="72" t="s">
        <v>215</v>
      </c>
      <c r="C36" s="287">
        <v>37779</v>
      </c>
      <c r="D36" s="279">
        <v>39426</v>
      </c>
      <c r="E36" s="210">
        <v>17802</v>
      </c>
      <c r="F36" s="176">
        <f t="shared" si="0"/>
        <v>1.2616405153718587E-2</v>
      </c>
      <c r="G36" s="203">
        <v>25575</v>
      </c>
      <c r="H36" s="176">
        <f t="shared" si="1"/>
        <v>8.491630721806873E-3</v>
      </c>
      <c r="I36" s="203">
        <f t="shared" si="4"/>
        <v>43377</v>
      </c>
      <c r="J36" s="280">
        <f t="shared" si="5"/>
        <v>40194</v>
      </c>
      <c r="K36" s="178">
        <f t="shared" si="2"/>
        <v>1.0165304430559342E-2</v>
      </c>
      <c r="L36" s="79">
        <f t="shared" si="7"/>
        <v>9811</v>
      </c>
      <c r="M36" s="197">
        <f t="shared" si="8"/>
        <v>1750</v>
      </c>
      <c r="N36" s="197"/>
      <c r="O36" s="249">
        <f t="shared" si="9"/>
        <v>8061</v>
      </c>
      <c r="P36" s="119">
        <f t="shared" si="6"/>
        <v>2165</v>
      </c>
      <c r="Q36" s="80">
        <f t="shared" si="3"/>
        <v>-69</v>
      </c>
      <c r="R36" s="182">
        <f t="shared" si="15"/>
        <v>-8.487084870848708E-3</v>
      </c>
      <c r="S36" s="78"/>
      <c r="T36" s="195">
        <v>9730</v>
      </c>
      <c r="U36" s="197">
        <v>1600</v>
      </c>
      <c r="V36" s="197"/>
      <c r="W36" s="196">
        <v>8130</v>
      </c>
      <c r="X36" s="234">
        <v>2187</v>
      </c>
      <c r="Z36" s="177"/>
      <c r="AA36" s="265"/>
      <c r="AB36" s="80"/>
      <c r="AC36" s="80"/>
      <c r="AD36" s="266"/>
      <c r="AE36" s="80"/>
      <c r="AF36" s="266"/>
      <c r="AG36" s="266"/>
      <c r="AH36" s="265"/>
      <c r="AI36" s="80"/>
    </row>
    <row r="37" spans="1:35">
      <c r="A37" s="96">
        <v>29</v>
      </c>
      <c r="B37" s="72" t="s">
        <v>170</v>
      </c>
      <c r="C37" s="287">
        <v>21320</v>
      </c>
      <c r="D37" s="279">
        <v>18852</v>
      </c>
      <c r="E37" s="210">
        <v>8962</v>
      </c>
      <c r="F37" s="176">
        <f t="shared" si="0"/>
        <v>6.3514337146177938E-3</v>
      </c>
      <c r="G37" s="203">
        <v>11718</v>
      </c>
      <c r="H37" s="176">
        <f t="shared" si="1"/>
        <v>3.8907108034460583E-3</v>
      </c>
      <c r="I37" s="203">
        <f t="shared" si="4"/>
        <v>20680</v>
      </c>
      <c r="J37" s="280">
        <f t="shared" si="5"/>
        <v>20284</v>
      </c>
      <c r="K37" s="178">
        <f t="shared" si="2"/>
        <v>5.1299456403807956E-3</v>
      </c>
      <c r="L37" s="79">
        <f t="shared" si="7"/>
        <v>4951</v>
      </c>
      <c r="M37" s="197">
        <f t="shared" si="8"/>
        <v>1750</v>
      </c>
      <c r="N37" s="197"/>
      <c r="O37" s="249">
        <f t="shared" si="9"/>
        <v>3201</v>
      </c>
      <c r="P37" s="119">
        <f t="shared" si="6"/>
        <v>1093</v>
      </c>
      <c r="Q37" s="80">
        <f t="shared" si="3"/>
        <v>-103</v>
      </c>
      <c r="R37" s="182">
        <f t="shared" si="15"/>
        <v>-3.1174334140435835E-2</v>
      </c>
      <c r="S37" s="78"/>
      <c r="T37" s="195">
        <v>4904</v>
      </c>
      <c r="U37" s="197">
        <v>1600</v>
      </c>
      <c r="V37" s="197"/>
      <c r="W37" s="196">
        <v>3304</v>
      </c>
      <c r="X37" s="234">
        <v>1102</v>
      </c>
      <c r="Z37" s="177"/>
      <c r="AA37" s="265"/>
      <c r="AB37" s="80"/>
      <c r="AC37" s="80"/>
      <c r="AD37" s="266"/>
      <c r="AE37" s="80"/>
      <c r="AF37" s="266"/>
      <c r="AG37" s="266"/>
      <c r="AH37" s="265"/>
      <c r="AI37" s="80"/>
    </row>
    <row r="38" spans="1:35">
      <c r="A38" s="96">
        <v>30</v>
      </c>
      <c r="B38" s="129" t="s">
        <v>216</v>
      </c>
      <c r="C38" s="287">
        <v>56529</v>
      </c>
      <c r="D38" s="279">
        <v>57402</v>
      </c>
      <c r="E38" s="210">
        <v>29727</v>
      </c>
      <c r="F38" s="176">
        <f t="shared" si="0"/>
        <v>2.1067738231917335E-2</v>
      </c>
      <c r="G38" s="203">
        <v>23551</v>
      </c>
      <c r="H38" s="176">
        <f t="shared" si="1"/>
        <v>7.8196048926402213E-3</v>
      </c>
      <c r="I38" s="203">
        <f t="shared" si="4"/>
        <v>53278</v>
      </c>
      <c r="J38" s="280">
        <f t="shared" si="5"/>
        <v>55736</v>
      </c>
      <c r="K38" s="178">
        <f t="shared" si="2"/>
        <v>1.4095969740300928E-2</v>
      </c>
      <c r="L38" s="79">
        <f t="shared" si="7"/>
        <v>13605</v>
      </c>
      <c r="M38" s="197">
        <f t="shared" si="8"/>
        <v>1750</v>
      </c>
      <c r="N38" s="197"/>
      <c r="O38" s="249">
        <f t="shared" si="9"/>
        <v>11855</v>
      </c>
      <c r="P38" s="119">
        <f t="shared" si="6"/>
        <v>3002</v>
      </c>
      <c r="Q38" s="80">
        <f t="shared" si="3"/>
        <v>-292</v>
      </c>
      <c r="R38" s="182">
        <f t="shared" si="15"/>
        <v>-2.4038857331028236E-2</v>
      </c>
      <c r="S38" s="78"/>
      <c r="T38" s="195">
        <v>13747</v>
      </c>
      <c r="U38" s="197">
        <v>1600</v>
      </c>
      <c r="V38" s="197"/>
      <c r="W38" s="196">
        <v>12147</v>
      </c>
      <c r="X38" s="234">
        <v>3090</v>
      </c>
      <c r="Z38" s="177"/>
      <c r="AA38" s="265"/>
      <c r="AB38" s="80"/>
      <c r="AC38" s="80"/>
      <c r="AD38" s="266"/>
      <c r="AE38" s="80"/>
      <c r="AF38" s="266"/>
      <c r="AG38" s="266"/>
      <c r="AH38" s="265"/>
      <c r="AI38" s="80"/>
    </row>
    <row r="39" spans="1:35">
      <c r="A39" s="96">
        <v>31</v>
      </c>
      <c r="B39" s="72" t="s">
        <v>171</v>
      </c>
      <c r="C39" s="287">
        <v>185580</v>
      </c>
      <c r="D39" s="279">
        <v>200544</v>
      </c>
      <c r="E39" s="210">
        <v>58943</v>
      </c>
      <c r="F39" s="176">
        <f t="shared" si="0"/>
        <v>4.1773327096710181E-2</v>
      </c>
      <c r="G39" s="203">
        <v>159564</v>
      </c>
      <c r="H39" s="176">
        <f t="shared" si="1"/>
        <v>5.2979807018353545E-2</v>
      </c>
      <c r="I39" s="203">
        <f t="shared" si="4"/>
        <v>218507</v>
      </c>
      <c r="J39" s="280">
        <f t="shared" si="5"/>
        <v>201544</v>
      </c>
      <c r="K39" s="178">
        <f t="shared" si="2"/>
        <v>5.0971690206315673E-2</v>
      </c>
      <c r="L39" s="79">
        <f t="shared" si="7"/>
        <v>49195</v>
      </c>
      <c r="M39" s="197">
        <f t="shared" si="8"/>
        <v>1750</v>
      </c>
      <c r="N39" s="197"/>
      <c r="O39" s="249">
        <f t="shared" si="9"/>
        <v>47445</v>
      </c>
      <c r="P39" s="119">
        <f t="shared" si="6"/>
        <v>10856</v>
      </c>
      <c r="Q39" s="80">
        <f t="shared" si="3"/>
        <v>662</v>
      </c>
      <c r="R39" s="182">
        <f t="shared" si="15"/>
        <v>1.4150439262125131E-2</v>
      </c>
      <c r="S39" s="78"/>
      <c r="T39" s="195">
        <v>48383</v>
      </c>
      <c r="U39" s="197">
        <v>1600</v>
      </c>
      <c r="V39" s="197"/>
      <c r="W39" s="196">
        <v>46783</v>
      </c>
      <c r="X39" s="234">
        <v>10875</v>
      </c>
      <c r="Z39" s="177"/>
      <c r="AA39" s="265"/>
      <c r="AB39" s="80"/>
      <c r="AC39" s="80"/>
      <c r="AD39" s="266"/>
      <c r="AE39" s="80"/>
      <c r="AF39" s="266"/>
      <c r="AG39" s="266"/>
      <c r="AH39" s="265"/>
      <c r="AI39" s="80"/>
    </row>
    <row r="40" spans="1:35">
      <c r="A40" s="96">
        <v>32</v>
      </c>
      <c r="B40" s="129" t="s">
        <v>217</v>
      </c>
      <c r="C40" s="287">
        <v>95735</v>
      </c>
      <c r="D40" s="279">
        <v>92137</v>
      </c>
      <c r="E40" s="210">
        <v>40871</v>
      </c>
      <c r="F40" s="176">
        <f t="shared" si="0"/>
        <v>2.8965571005372E-2</v>
      </c>
      <c r="G40" s="203">
        <v>74418</v>
      </c>
      <c r="H40" s="176">
        <f t="shared" si="1"/>
        <v>2.4708902250456456E-2</v>
      </c>
      <c r="I40" s="203">
        <f t="shared" si="4"/>
        <v>115289</v>
      </c>
      <c r="J40" s="280">
        <f t="shared" si="5"/>
        <v>101054</v>
      </c>
      <c r="K40" s="178">
        <f t="shared" si="2"/>
        <v>2.5557164599834398E-2</v>
      </c>
      <c r="L40" s="79">
        <f t="shared" si="7"/>
        <v>24666</v>
      </c>
      <c r="M40" s="197">
        <f t="shared" si="8"/>
        <v>1750</v>
      </c>
      <c r="N40" s="197"/>
      <c r="O40" s="249">
        <f t="shared" si="9"/>
        <v>22916</v>
      </c>
      <c r="P40" s="119">
        <f t="shared" ref="P40:P61" si="16">ROUND(K40*$H$5,0)</f>
        <v>5443</v>
      </c>
      <c r="Q40" s="80">
        <f t="shared" si="3"/>
        <v>621</v>
      </c>
      <c r="R40" s="182">
        <f t="shared" si="15"/>
        <v>2.7853778874187038E-2</v>
      </c>
      <c r="S40" s="78"/>
      <c r="T40" s="195">
        <v>23895</v>
      </c>
      <c r="U40" s="197">
        <v>1600</v>
      </c>
      <c r="V40" s="197"/>
      <c r="W40" s="196">
        <v>22295</v>
      </c>
      <c r="X40" s="234">
        <v>5371</v>
      </c>
      <c r="Z40" s="177"/>
      <c r="AA40" s="265"/>
      <c r="AB40" s="80"/>
      <c r="AC40" s="80"/>
      <c r="AD40" s="266"/>
      <c r="AE40" s="80"/>
      <c r="AF40" s="266"/>
      <c r="AG40" s="266"/>
      <c r="AH40" s="265"/>
      <c r="AI40" s="80"/>
    </row>
    <row r="41" spans="1:35">
      <c r="A41" s="96">
        <v>33</v>
      </c>
      <c r="B41" s="72" t="s">
        <v>218</v>
      </c>
      <c r="C41" s="287">
        <v>39524</v>
      </c>
      <c r="D41" s="279">
        <v>45438</v>
      </c>
      <c r="E41" s="210">
        <v>14539</v>
      </c>
      <c r="F41" s="176">
        <f t="shared" si="0"/>
        <v>1.0303893637226971E-2</v>
      </c>
      <c r="G41" s="203">
        <v>17880</v>
      </c>
      <c r="H41" s="176">
        <f t="shared" si="1"/>
        <v>5.9366708624010514E-3</v>
      </c>
      <c r="I41" s="203">
        <f t="shared" si="4"/>
        <v>32419</v>
      </c>
      <c r="J41" s="280">
        <f t="shared" si="5"/>
        <v>39127</v>
      </c>
      <c r="K41" s="178">
        <f t="shared" si="2"/>
        <v>9.8954537108646903E-3</v>
      </c>
      <c r="L41" s="79">
        <f t="shared" si="7"/>
        <v>9551</v>
      </c>
      <c r="M41" s="197">
        <f t="shared" si="8"/>
        <v>1750</v>
      </c>
      <c r="N41" s="197"/>
      <c r="O41" s="249">
        <f t="shared" si="9"/>
        <v>7801</v>
      </c>
      <c r="P41" s="119">
        <f t="shared" si="16"/>
        <v>2108</v>
      </c>
      <c r="Q41" s="80">
        <f t="shared" si="3"/>
        <v>321</v>
      </c>
      <c r="R41" s="182">
        <f t="shared" ref="R41:R62" si="17">(O41-W41)/W41</f>
        <v>4.2914438502673798E-2</v>
      </c>
      <c r="S41" s="78"/>
      <c r="T41" s="195">
        <v>9080</v>
      </c>
      <c r="U41" s="197">
        <v>1600</v>
      </c>
      <c r="V41" s="197"/>
      <c r="W41" s="196">
        <v>7480</v>
      </c>
      <c r="X41" s="234">
        <v>2041</v>
      </c>
      <c r="Z41" s="177"/>
      <c r="AA41" s="265"/>
      <c r="AB41" s="80"/>
      <c r="AC41" s="80"/>
      <c r="AD41" s="266"/>
      <c r="AE41" s="80"/>
      <c r="AF41" s="266"/>
      <c r="AG41" s="266"/>
      <c r="AH41" s="265"/>
      <c r="AI41" s="80"/>
    </row>
    <row r="42" spans="1:35">
      <c r="A42" s="96">
        <v>34</v>
      </c>
      <c r="B42" s="72" t="s">
        <v>172</v>
      </c>
      <c r="C42" s="287">
        <v>209140</v>
      </c>
      <c r="D42" s="279">
        <v>213411</v>
      </c>
      <c r="E42" s="210">
        <v>47025</v>
      </c>
      <c r="F42" s="176">
        <f t="shared" ref="F42:F61" si="18">E42/$E$62</f>
        <v>3.3326954968746013E-2</v>
      </c>
      <c r="G42" s="203">
        <v>206183</v>
      </c>
      <c r="H42" s="176">
        <f t="shared" ref="H42:H61" si="19">G42/$G$62</f>
        <v>6.845864700349194E-2</v>
      </c>
      <c r="I42" s="203">
        <f t="shared" si="4"/>
        <v>253208</v>
      </c>
      <c r="J42" s="280">
        <f t="shared" si="5"/>
        <v>225253</v>
      </c>
      <c r="K42" s="178">
        <f t="shared" ref="K42:K61" si="20">J42/$J$62</f>
        <v>5.6967838953495137E-2</v>
      </c>
      <c r="L42" s="79">
        <f t="shared" si="7"/>
        <v>54982</v>
      </c>
      <c r="M42" s="197">
        <f t="shared" si="8"/>
        <v>1750</v>
      </c>
      <c r="N42" s="197"/>
      <c r="O42" s="249">
        <f t="shared" si="9"/>
        <v>53232</v>
      </c>
      <c r="P42" s="119">
        <f t="shared" si="16"/>
        <v>12133</v>
      </c>
      <c r="Q42" s="80">
        <f t="shared" si="3"/>
        <v>1333</v>
      </c>
      <c r="R42" s="182">
        <f t="shared" si="17"/>
        <v>2.5684502591572091E-2</v>
      </c>
      <c r="S42" s="78"/>
      <c r="T42" s="195">
        <v>53499</v>
      </c>
      <c r="U42" s="197">
        <v>1600</v>
      </c>
      <c r="V42" s="197"/>
      <c r="W42" s="196">
        <v>51899</v>
      </c>
      <c r="X42" s="234">
        <v>12025</v>
      </c>
      <c r="Z42" s="177"/>
      <c r="AA42" s="265"/>
      <c r="AB42" s="80"/>
      <c r="AC42" s="80"/>
      <c r="AD42" s="266"/>
      <c r="AE42" s="80"/>
      <c r="AF42" s="266"/>
      <c r="AG42" s="266"/>
      <c r="AH42" s="265"/>
      <c r="AI42" s="80"/>
    </row>
    <row r="43" spans="1:35">
      <c r="A43" s="96">
        <v>35</v>
      </c>
      <c r="B43" s="72" t="s">
        <v>219</v>
      </c>
      <c r="C43" s="287">
        <v>30498</v>
      </c>
      <c r="D43" s="279">
        <v>33794</v>
      </c>
      <c r="E43" s="210">
        <v>16639</v>
      </c>
      <c r="F43" s="176">
        <f t="shared" si="18"/>
        <v>1.1792178707601594E-2</v>
      </c>
      <c r="G43" s="203">
        <v>18447</v>
      </c>
      <c r="H43" s="176">
        <f t="shared" si="19"/>
        <v>6.1249310625677957E-3</v>
      </c>
      <c r="I43" s="203">
        <f t="shared" si="4"/>
        <v>35086</v>
      </c>
      <c r="J43" s="280">
        <f t="shared" si="5"/>
        <v>33126</v>
      </c>
      <c r="K43" s="178">
        <f t="shared" si="20"/>
        <v>8.3777647053467873E-3</v>
      </c>
      <c r="L43" s="79">
        <f t="shared" si="7"/>
        <v>8086</v>
      </c>
      <c r="M43" s="197">
        <f t="shared" si="8"/>
        <v>1750</v>
      </c>
      <c r="N43" s="197"/>
      <c r="O43" s="249">
        <f t="shared" si="9"/>
        <v>6336</v>
      </c>
      <c r="P43" s="119">
        <f t="shared" si="16"/>
        <v>1784</v>
      </c>
      <c r="Q43" s="80">
        <f t="shared" si="3"/>
        <v>541</v>
      </c>
      <c r="R43" s="182">
        <f t="shared" si="17"/>
        <v>9.3356341673856771E-2</v>
      </c>
      <c r="S43" s="78"/>
      <c r="T43" s="195">
        <v>7395</v>
      </c>
      <c r="U43" s="197">
        <v>1600</v>
      </c>
      <c r="V43" s="197"/>
      <c r="W43" s="196">
        <v>5795</v>
      </c>
      <c r="X43" s="234">
        <v>1662</v>
      </c>
      <c r="Z43" s="177"/>
      <c r="AA43" s="265"/>
      <c r="AB43" s="80"/>
      <c r="AC43" s="80"/>
      <c r="AD43" s="266"/>
      <c r="AE43" s="80"/>
      <c r="AF43" s="266"/>
      <c r="AG43" s="266"/>
      <c r="AH43" s="265"/>
      <c r="AI43" s="80"/>
    </row>
    <row r="44" spans="1:35">
      <c r="A44" s="96">
        <v>36</v>
      </c>
      <c r="B44" s="72" t="s">
        <v>173</v>
      </c>
      <c r="C44" s="287">
        <v>163562</v>
      </c>
      <c r="D44" s="279">
        <v>189276</v>
      </c>
      <c r="E44" s="210">
        <v>52873</v>
      </c>
      <c r="F44" s="176">
        <f t="shared" si="18"/>
        <v>3.7471474536151156E-2</v>
      </c>
      <c r="G44" s="203">
        <v>159688</v>
      </c>
      <c r="H44" s="176">
        <f t="shared" si="19"/>
        <v>5.3020978561247149E-2</v>
      </c>
      <c r="I44" s="203">
        <f t="shared" si="4"/>
        <v>212561</v>
      </c>
      <c r="J44" s="280">
        <f t="shared" si="5"/>
        <v>188466</v>
      </c>
      <c r="K44" s="178">
        <f t="shared" si="20"/>
        <v>4.7664185321435959E-2</v>
      </c>
      <c r="L44" s="79">
        <f t="shared" si="7"/>
        <v>46003</v>
      </c>
      <c r="M44" s="197">
        <f t="shared" si="8"/>
        <v>1750</v>
      </c>
      <c r="N44" s="197"/>
      <c r="O44" s="249">
        <f t="shared" si="9"/>
        <v>44253</v>
      </c>
      <c r="P44" s="119">
        <f t="shared" si="16"/>
        <v>10152</v>
      </c>
      <c r="Q44" s="80">
        <f t="shared" si="3"/>
        <v>1864</v>
      </c>
      <c r="R44" s="182">
        <f t="shared" si="17"/>
        <v>4.3973672415013328E-2</v>
      </c>
      <c r="S44" s="78"/>
      <c r="T44" s="195">
        <v>43989</v>
      </c>
      <c r="U44" s="197">
        <v>1600</v>
      </c>
      <c r="V44" s="197"/>
      <c r="W44" s="196">
        <v>42389</v>
      </c>
      <c r="X44" s="234">
        <v>9887</v>
      </c>
      <c r="Z44" s="177"/>
      <c r="AA44" s="265"/>
      <c r="AB44" s="80"/>
      <c r="AC44" s="80"/>
      <c r="AD44" s="266"/>
      <c r="AE44" s="80"/>
      <c r="AF44" s="266"/>
      <c r="AG44" s="266"/>
      <c r="AH44" s="265"/>
      <c r="AI44" s="80"/>
    </row>
    <row r="45" spans="1:35">
      <c r="A45" s="96">
        <v>37</v>
      </c>
      <c r="B45" s="129" t="s">
        <v>220</v>
      </c>
      <c r="C45" s="287">
        <v>24922</v>
      </c>
      <c r="D45" s="279">
        <v>25066</v>
      </c>
      <c r="E45" s="210">
        <v>19286</v>
      </c>
      <c r="F45" s="176">
        <f t="shared" si="18"/>
        <v>1.3668126603449987E-2</v>
      </c>
      <c r="G45" s="203">
        <v>8701</v>
      </c>
      <c r="H45" s="176">
        <f t="shared" si="19"/>
        <v>2.8889806025588112E-3</v>
      </c>
      <c r="I45" s="203">
        <f t="shared" si="4"/>
        <v>27987</v>
      </c>
      <c r="J45" s="280">
        <f t="shared" si="5"/>
        <v>25992</v>
      </c>
      <c r="K45" s="178">
        <f t="shared" si="20"/>
        <v>6.5735331830397183E-3</v>
      </c>
      <c r="L45" s="79">
        <f t="shared" si="7"/>
        <v>6344</v>
      </c>
      <c r="M45" s="197">
        <f t="shared" si="8"/>
        <v>1750</v>
      </c>
      <c r="N45" s="197"/>
      <c r="O45" s="249">
        <f t="shared" si="9"/>
        <v>4594</v>
      </c>
      <c r="P45" s="119">
        <f t="shared" si="16"/>
        <v>1400</v>
      </c>
      <c r="Q45" s="80">
        <f t="shared" si="3"/>
        <v>540</v>
      </c>
      <c r="R45" s="182">
        <f t="shared" si="17"/>
        <v>0.13320177602368033</v>
      </c>
      <c r="S45" s="78"/>
      <c r="T45" s="195">
        <v>5654</v>
      </c>
      <c r="U45" s="197">
        <v>1600</v>
      </c>
      <c r="V45" s="197"/>
      <c r="W45" s="196">
        <v>4054</v>
      </c>
      <c r="X45" s="234">
        <v>1271</v>
      </c>
      <c r="Z45" s="177"/>
      <c r="AA45" s="265"/>
      <c r="AB45" s="80"/>
      <c r="AC45" s="80"/>
      <c r="AD45" s="266"/>
      <c r="AE45" s="80"/>
      <c r="AF45" s="266"/>
      <c r="AG45" s="266"/>
      <c r="AH45" s="265"/>
      <c r="AI45" s="80"/>
    </row>
    <row r="46" spans="1:35">
      <c r="A46" s="96">
        <v>38</v>
      </c>
      <c r="B46" s="72" t="s">
        <v>221</v>
      </c>
      <c r="C46" s="287">
        <v>61940</v>
      </c>
      <c r="D46" s="279">
        <v>60738</v>
      </c>
      <c r="E46" s="210">
        <v>26311</v>
      </c>
      <c r="F46" s="176">
        <f t="shared" si="18"/>
        <v>1.8646794517441282E-2</v>
      </c>
      <c r="G46" s="203">
        <v>50066</v>
      </c>
      <c r="H46" s="176">
        <f t="shared" si="19"/>
        <v>1.6623342471866389E-2</v>
      </c>
      <c r="I46" s="203">
        <f t="shared" si="4"/>
        <v>76377</v>
      </c>
      <c r="J46" s="280">
        <f t="shared" si="5"/>
        <v>66352</v>
      </c>
      <c r="K46" s="178">
        <f t="shared" si="20"/>
        <v>1.678082001235193E-2</v>
      </c>
      <c r="L46" s="79">
        <f t="shared" si="7"/>
        <v>16196</v>
      </c>
      <c r="M46" s="197">
        <f t="shared" si="8"/>
        <v>1750</v>
      </c>
      <c r="N46" s="197"/>
      <c r="O46" s="249">
        <f t="shared" si="9"/>
        <v>14446</v>
      </c>
      <c r="P46" s="119">
        <f t="shared" si="16"/>
        <v>3574</v>
      </c>
      <c r="Q46" s="80">
        <f t="shared" si="3"/>
        <v>229</v>
      </c>
      <c r="R46" s="182">
        <f t="shared" si="17"/>
        <v>1.610747696419779E-2</v>
      </c>
      <c r="S46" s="78"/>
      <c r="T46" s="195">
        <v>15817</v>
      </c>
      <c r="U46" s="197">
        <v>1600</v>
      </c>
      <c r="V46" s="197"/>
      <c r="W46" s="196">
        <v>14217</v>
      </c>
      <c r="X46" s="234">
        <v>3555</v>
      </c>
      <c r="Z46" s="177"/>
      <c r="AA46" s="265"/>
      <c r="AB46" s="80"/>
      <c r="AC46" s="80"/>
      <c r="AD46" s="266"/>
      <c r="AE46" s="80"/>
      <c r="AF46" s="266"/>
      <c r="AG46" s="266"/>
      <c r="AH46" s="265"/>
      <c r="AI46" s="80"/>
    </row>
    <row r="47" spans="1:35">
      <c r="A47" s="96">
        <v>39</v>
      </c>
      <c r="B47" s="72" t="s">
        <v>222</v>
      </c>
      <c r="C47" s="287">
        <v>74753</v>
      </c>
      <c r="D47" s="279">
        <v>83556</v>
      </c>
      <c r="E47" s="210">
        <v>43749</v>
      </c>
      <c r="F47" s="176">
        <f t="shared" si="18"/>
        <v>3.1005230258961604E-2</v>
      </c>
      <c r="G47" s="203">
        <v>52420</v>
      </c>
      <c r="H47" s="176">
        <f t="shared" si="19"/>
        <v>1.7404937729701517E-2</v>
      </c>
      <c r="I47" s="203">
        <f t="shared" si="4"/>
        <v>96169</v>
      </c>
      <c r="J47" s="280">
        <f t="shared" si="5"/>
        <v>84826</v>
      </c>
      <c r="K47" s="178">
        <f t="shared" si="20"/>
        <v>2.1453005762716495E-2</v>
      </c>
      <c r="L47" s="79">
        <f t="shared" si="7"/>
        <v>20705</v>
      </c>
      <c r="M47" s="197">
        <f t="shared" si="8"/>
        <v>1750</v>
      </c>
      <c r="N47" s="197"/>
      <c r="O47" s="249">
        <f t="shared" si="9"/>
        <v>18955</v>
      </c>
      <c r="P47" s="119">
        <f t="shared" si="16"/>
        <v>4569</v>
      </c>
      <c r="Q47" s="80">
        <f t="shared" si="3"/>
        <v>2367</v>
      </c>
      <c r="R47" s="182">
        <f t="shared" si="17"/>
        <v>0.14269351338316855</v>
      </c>
      <c r="S47" s="78"/>
      <c r="T47" s="195">
        <v>18188</v>
      </c>
      <c r="U47" s="197">
        <v>1600</v>
      </c>
      <c r="V47" s="197"/>
      <c r="W47" s="196">
        <v>16588</v>
      </c>
      <c r="X47" s="234">
        <v>4088</v>
      </c>
      <c r="Z47" s="177"/>
      <c r="AA47" s="265"/>
      <c r="AB47" s="80"/>
      <c r="AC47" s="80"/>
      <c r="AD47" s="266"/>
      <c r="AE47" s="80"/>
      <c r="AF47" s="266"/>
      <c r="AG47" s="266"/>
      <c r="AH47" s="265"/>
      <c r="AI47" s="80"/>
    </row>
    <row r="48" spans="1:35">
      <c r="A48" s="96">
        <v>40</v>
      </c>
      <c r="B48" s="72" t="s">
        <v>174</v>
      </c>
      <c r="C48" s="287">
        <v>21737</v>
      </c>
      <c r="D48" s="279">
        <v>23275</v>
      </c>
      <c r="E48" s="210">
        <v>14451</v>
      </c>
      <c r="F48" s="176">
        <f t="shared" si="18"/>
        <v>1.024152740570651E-2</v>
      </c>
      <c r="G48" s="203">
        <v>11434</v>
      </c>
      <c r="H48" s="176">
        <f t="shared" si="19"/>
        <v>3.7964146890768244E-3</v>
      </c>
      <c r="I48" s="203">
        <f t="shared" si="4"/>
        <v>25885</v>
      </c>
      <c r="J48" s="280">
        <f t="shared" si="5"/>
        <v>23632</v>
      </c>
      <c r="K48" s="178">
        <f t="shared" si="20"/>
        <v>5.9766749839025319E-3</v>
      </c>
      <c r="L48" s="79">
        <f t="shared" si="7"/>
        <v>5768</v>
      </c>
      <c r="M48" s="197">
        <f t="shared" si="8"/>
        <v>1750</v>
      </c>
      <c r="N48" s="197"/>
      <c r="O48" s="249">
        <f t="shared" si="9"/>
        <v>4018</v>
      </c>
      <c r="P48" s="119">
        <f t="shared" si="16"/>
        <v>1273</v>
      </c>
      <c r="Q48" s="80">
        <f t="shared" si="3"/>
        <v>192</v>
      </c>
      <c r="R48" s="182">
        <f t="shared" si="17"/>
        <v>5.0182958703606902E-2</v>
      </c>
      <c r="S48" s="78"/>
      <c r="T48" s="195">
        <v>5426</v>
      </c>
      <c r="U48" s="197">
        <v>1600</v>
      </c>
      <c r="V48" s="197"/>
      <c r="W48" s="196">
        <v>3826</v>
      </c>
      <c r="X48" s="234">
        <v>1220</v>
      </c>
      <c r="Z48" s="177"/>
      <c r="AA48" s="265"/>
      <c r="AB48" s="80"/>
      <c r="AC48" s="80"/>
      <c r="AD48" s="266"/>
      <c r="AE48" s="80"/>
      <c r="AF48" s="266"/>
      <c r="AG48" s="266"/>
      <c r="AH48" s="265"/>
      <c r="AI48" s="80"/>
    </row>
    <row r="49" spans="1:36">
      <c r="A49" s="96">
        <v>41</v>
      </c>
      <c r="B49" s="129" t="s">
        <v>223</v>
      </c>
      <c r="C49" s="287">
        <v>49374</v>
      </c>
      <c r="D49" s="279">
        <v>55776</v>
      </c>
      <c r="E49" s="210">
        <v>21708</v>
      </c>
      <c r="F49" s="176">
        <f t="shared" si="18"/>
        <v>1.5384615384615385E-2</v>
      </c>
      <c r="G49" s="203">
        <v>39494</v>
      </c>
      <c r="H49" s="176">
        <f t="shared" si="19"/>
        <v>1.3113136411614492E-2</v>
      </c>
      <c r="I49" s="203">
        <f t="shared" si="4"/>
        <v>61202</v>
      </c>
      <c r="J49" s="280">
        <f t="shared" si="5"/>
        <v>55451</v>
      </c>
      <c r="K49" s="178">
        <f t="shared" si="20"/>
        <v>1.4023891525574615E-2</v>
      </c>
      <c r="L49" s="79">
        <f t="shared" si="7"/>
        <v>13535</v>
      </c>
      <c r="M49" s="197">
        <f t="shared" si="8"/>
        <v>1750</v>
      </c>
      <c r="N49" s="197"/>
      <c r="O49" s="249">
        <f t="shared" si="9"/>
        <v>11785</v>
      </c>
      <c r="P49" s="119">
        <f t="shared" si="16"/>
        <v>2987</v>
      </c>
      <c r="Q49" s="80">
        <f t="shared" si="3"/>
        <v>155</v>
      </c>
      <c r="R49" s="182">
        <f t="shared" si="17"/>
        <v>1.3327601031814273E-2</v>
      </c>
      <c r="S49" s="78"/>
      <c r="T49" s="195">
        <v>13230</v>
      </c>
      <c r="U49" s="197">
        <v>1600</v>
      </c>
      <c r="V49" s="197"/>
      <c r="W49" s="196">
        <v>11630</v>
      </c>
      <c r="X49" s="234">
        <v>2974</v>
      </c>
      <c r="Z49" s="177"/>
      <c r="AA49" s="265"/>
      <c r="AB49" s="80"/>
      <c r="AC49" s="80"/>
      <c r="AD49" s="266"/>
      <c r="AE49" s="80"/>
      <c r="AF49" s="266"/>
      <c r="AG49" s="266"/>
      <c r="AH49" s="265"/>
      <c r="AI49" s="80"/>
    </row>
    <row r="50" spans="1:36">
      <c r="A50" s="96">
        <v>42</v>
      </c>
      <c r="B50" s="129" t="s">
        <v>224</v>
      </c>
      <c r="C50" s="287">
        <v>31380</v>
      </c>
      <c r="D50" s="279">
        <v>36345</v>
      </c>
      <c r="E50" s="210">
        <v>17749</v>
      </c>
      <c r="F50" s="176">
        <f t="shared" si="18"/>
        <v>1.2578843673371037E-2</v>
      </c>
      <c r="G50" s="203">
        <v>18180</v>
      </c>
      <c r="H50" s="176">
        <f t="shared" si="19"/>
        <v>6.0362794339178473E-3</v>
      </c>
      <c r="I50" s="203">
        <f t="shared" si="4"/>
        <v>35929</v>
      </c>
      <c r="J50" s="280">
        <f t="shared" si="5"/>
        <v>34551</v>
      </c>
      <c r="K50" s="178">
        <f t="shared" si="20"/>
        <v>8.7381557789783515E-3</v>
      </c>
      <c r="L50" s="79">
        <f t="shared" si="7"/>
        <v>8434</v>
      </c>
      <c r="M50" s="197">
        <f t="shared" si="8"/>
        <v>1750</v>
      </c>
      <c r="N50" s="197"/>
      <c r="O50" s="249">
        <f t="shared" si="9"/>
        <v>6684</v>
      </c>
      <c r="P50" s="119">
        <f t="shared" si="16"/>
        <v>1861</v>
      </c>
      <c r="Q50" s="80">
        <f t="shared" si="3"/>
        <v>595</v>
      </c>
      <c r="R50" s="182">
        <f t="shared" si="17"/>
        <v>9.7717194941698143E-2</v>
      </c>
      <c r="S50" s="78"/>
      <c r="T50" s="195">
        <v>7689</v>
      </c>
      <c r="U50" s="197">
        <v>1600</v>
      </c>
      <c r="V50" s="197"/>
      <c r="W50" s="196">
        <v>6089</v>
      </c>
      <c r="X50" s="234">
        <v>1728</v>
      </c>
      <c r="Z50" s="177"/>
      <c r="AA50" s="265"/>
      <c r="AB50" s="80"/>
      <c r="AC50" s="80"/>
      <c r="AD50" s="266"/>
      <c r="AE50" s="80"/>
      <c r="AF50" s="266"/>
      <c r="AG50" s="266"/>
      <c r="AH50" s="265"/>
      <c r="AI50" s="80"/>
    </row>
    <row r="51" spans="1:36">
      <c r="A51" s="96">
        <v>43</v>
      </c>
      <c r="B51" s="72" t="s">
        <v>225</v>
      </c>
      <c r="C51" s="287">
        <v>57211</v>
      </c>
      <c r="D51" s="279">
        <v>65454</v>
      </c>
      <c r="E51" s="210">
        <v>29170</v>
      </c>
      <c r="F51" s="176">
        <f t="shared" si="18"/>
        <v>2.0672988334679877E-2</v>
      </c>
      <c r="G51" s="203">
        <v>44489</v>
      </c>
      <c r="H51" s="176">
        <f t="shared" si="19"/>
        <v>1.4771619127369148E-2</v>
      </c>
      <c r="I51" s="203">
        <f t="shared" si="4"/>
        <v>73659</v>
      </c>
      <c r="J51" s="280">
        <f t="shared" si="5"/>
        <v>65441</v>
      </c>
      <c r="K51" s="178">
        <f t="shared" si="20"/>
        <v>1.6550422631244312E-2</v>
      </c>
      <c r="L51" s="79">
        <f t="shared" si="7"/>
        <v>15974</v>
      </c>
      <c r="M51" s="197">
        <f t="shared" si="8"/>
        <v>1750</v>
      </c>
      <c r="N51" s="197"/>
      <c r="O51" s="249">
        <f t="shared" si="9"/>
        <v>14224</v>
      </c>
      <c r="P51" s="119">
        <f t="shared" si="16"/>
        <v>3525</v>
      </c>
      <c r="Q51" s="80">
        <f t="shared" si="3"/>
        <v>1101</v>
      </c>
      <c r="R51" s="182">
        <f t="shared" si="17"/>
        <v>8.3898498818867642E-2</v>
      </c>
      <c r="S51" s="78"/>
      <c r="T51" s="195">
        <v>14723</v>
      </c>
      <c r="U51" s="197">
        <v>1600</v>
      </c>
      <c r="V51" s="197"/>
      <c r="W51" s="196">
        <v>13123</v>
      </c>
      <c r="X51" s="234">
        <v>3309</v>
      </c>
      <c r="Z51" s="177"/>
      <c r="AA51" s="265"/>
      <c r="AB51" s="80"/>
      <c r="AC51" s="80"/>
      <c r="AD51" s="266"/>
      <c r="AE51" s="80"/>
      <c r="AF51" s="266"/>
      <c r="AG51" s="266"/>
      <c r="AH51" s="265"/>
      <c r="AI51" s="80"/>
    </row>
    <row r="52" spans="1:36">
      <c r="A52" s="96">
        <v>44</v>
      </c>
      <c r="B52" s="129" t="s">
        <v>226</v>
      </c>
      <c r="C52" s="287">
        <v>108101</v>
      </c>
      <c r="D52" s="279">
        <v>141355</v>
      </c>
      <c r="E52" s="210">
        <v>29137</v>
      </c>
      <c r="F52" s="176">
        <f t="shared" si="18"/>
        <v>2.0649600997859705E-2</v>
      </c>
      <c r="G52" s="203">
        <v>138706</v>
      </c>
      <c r="H52" s="176">
        <f t="shared" si="19"/>
        <v>4.6054355069362431E-2</v>
      </c>
      <c r="I52" s="203">
        <f t="shared" si="4"/>
        <v>167843</v>
      </c>
      <c r="J52" s="280">
        <f t="shared" si="5"/>
        <v>139100</v>
      </c>
      <c r="K52" s="178">
        <f t="shared" si="20"/>
        <v>3.5179226906772269E-2</v>
      </c>
      <c r="L52" s="79">
        <f t="shared" si="7"/>
        <v>33953</v>
      </c>
      <c r="M52" s="197">
        <f t="shared" si="8"/>
        <v>1750</v>
      </c>
      <c r="N52" s="197"/>
      <c r="O52" s="249">
        <f t="shared" si="9"/>
        <v>32203</v>
      </c>
      <c r="P52" s="119">
        <f t="shared" si="16"/>
        <v>7493</v>
      </c>
      <c r="Q52" s="80">
        <f t="shared" si="3"/>
        <v>4381</v>
      </c>
      <c r="R52" s="182">
        <f t="shared" si="17"/>
        <v>0.15746531521817267</v>
      </c>
      <c r="S52" s="78"/>
      <c r="T52" s="195">
        <v>29422</v>
      </c>
      <c r="U52" s="197">
        <v>1600</v>
      </c>
      <c r="V52" s="197"/>
      <c r="W52" s="196">
        <v>27822</v>
      </c>
      <c r="X52" s="234">
        <v>6613</v>
      </c>
      <c r="Z52" s="177"/>
      <c r="AA52" s="265"/>
      <c r="AB52" s="80"/>
      <c r="AC52" s="80"/>
      <c r="AD52" s="266"/>
      <c r="AE52" s="80"/>
      <c r="AF52" s="266"/>
      <c r="AG52" s="266"/>
      <c r="AH52" s="265"/>
      <c r="AI52" s="80"/>
    </row>
    <row r="53" spans="1:36">
      <c r="A53" s="96">
        <v>45</v>
      </c>
      <c r="B53" s="72" t="s">
        <v>177</v>
      </c>
      <c r="C53" s="287">
        <v>203690</v>
      </c>
      <c r="D53" s="279">
        <v>250488</v>
      </c>
      <c r="E53" s="210">
        <v>80700</v>
      </c>
      <c r="F53" s="176">
        <f t="shared" si="18"/>
        <v>5.7192669132967638E-2</v>
      </c>
      <c r="G53" s="203">
        <v>206333</v>
      </c>
      <c r="H53" s="176">
        <f t="shared" si="19"/>
        <v>6.8508451289250344E-2</v>
      </c>
      <c r="I53" s="203">
        <f t="shared" si="4"/>
        <v>287033</v>
      </c>
      <c r="J53" s="280">
        <f t="shared" si="5"/>
        <v>247070</v>
      </c>
      <c r="K53" s="178">
        <f t="shared" si="20"/>
        <v>6.2485489517298522E-2</v>
      </c>
      <c r="L53" s="79">
        <f t="shared" si="7"/>
        <v>60308</v>
      </c>
      <c r="M53" s="197">
        <f t="shared" si="8"/>
        <v>1750</v>
      </c>
      <c r="N53" s="245">
        <f>K71*M3</f>
        <v>2254.4384799352511</v>
      </c>
      <c r="O53" s="249">
        <f t="shared" si="9"/>
        <v>56303.561520064752</v>
      </c>
      <c r="P53" s="119">
        <f t="shared" si="16"/>
        <v>13308</v>
      </c>
      <c r="Q53" s="80">
        <f t="shared" si="3"/>
        <v>3466.8347230364598</v>
      </c>
      <c r="R53" s="182">
        <f t="shared" si="17"/>
        <v>6.5614108465769788E-2</v>
      </c>
      <c r="S53" s="78"/>
      <c r="T53" s="195">
        <v>58881</v>
      </c>
      <c r="U53" s="197">
        <v>1600</v>
      </c>
      <c r="V53" s="197">
        <v>4444.2732029717063</v>
      </c>
      <c r="W53" s="196">
        <v>52836.726797028292</v>
      </c>
      <c r="X53" s="234">
        <v>13235</v>
      </c>
      <c r="Z53" s="177"/>
      <c r="AA53" s="265"/>
      <c r="AB53" s="80"/>
      <c r="AC53" s="80"/>
      <c r="AD53" s="266"/>
      <c r="AE53" s="80"/>
      <c r="AF53" s="266"/>
      <c r="AG53" s="266"/>
      <c r="AH53" s="265"/>
      <c r="AI53" s="80"/>
    </row>
    <row r="54" spans="1:36">
      <c r="A54" s="96">
        <v>46</v>
      </c>
      <c r="B54" s="72" t="s">
        <v>227</v>
      </c>
      <c r="C54" s="287">
        <v>70725</v>
      </c>
      <c r="D54" s="279">
        <v>81273</v>
      </c>
      <c r="E54" s="210">
        <v>24981</v>
      </c>
      <c r="F54" s="176">
        <f t="shared" si="18"/>
        <v>1.770421397287069E-2</v>
      </c>
      <c r="G54" s="203">
        <v>60423</v>
      </c>
      <c r="H54" s="176">
        <f t="shared" si="19"/>
        <v>2.0062162389197915E-2</v>
      </c>
      <c r="I54" s="203">
        <f t="shared" si="4"/>
        <v>85404</v>
      </c>
      <c r="J54" s="280">
        <f t="shared" si="5"/>
        <v>79134</v>
      </c>
      <c r="K54" s="178">
        <f t="shared" si="20"/>
        <v>2.0013464716322909E-2</v>
      </c>
      <c r="L54" s="79">
        <f t="shared" si="7"/>
        <v>19316</v>
      </c>
      <c r="M54" s="197">
        <f t="shared" si="8"/>
        <v>1750</v>
      </c>
      <c r="N54" s="197"/>
      <c r="O54" s="249">
        <f t="shared" si="9"/>
        <v>17566</v>
      </c>
      <c r="P54" s="119">
        <f t="shared" si="16"/>
        <v>4263</v>
      </c>
      <c r="Q54" s="80">
        <f t="shared" si="3"/>
        <v>907</v>
      </c>
      <c r="R54" s="182">
        <f t="shared" si="17"/>
        <v>5.4445044720571462E-2</v>
      </c>
      <c r="S54" s="78"/>
      <c r="T54" s="195">
        <v>18259</v>
      </c>
      <c r="U54" s="197">
        <v>1600</v>
      </c>
      <c r="V54" s="197"/>
      <c r="W54" s="196">
        <v>16659</v>
      </c>
      <c r="X54" s="234">
        <v>4104</v>
      </c>
      <c r="Z54" s="177"/>
      <c r="AA54" s="265"/>
      <c r="AB54" s="80"/>
      <c r="AC54" s="80"/>
      <c r="AD54" s="266"/>
      <c r="AE54" s="80"/>
      <c r="AF54" s="266"/>
      <c r="AG54" s="266"/>
      <c r="AH54" s="265"/>
      <c r="AI54" s="80"/>
    </row>
    <row r="55" spans="1:36">
      <c r="A55" s="96">
        <v>47</v>
      </c>
      <c r="B55" s="129" t="s">
        <v>228</v>
      </c>
      <c r="C55" s="287">
        <v>12548</v>
      </c>
      <c r="D55" s="279">
        <v>14798</v>
      </c>
      <c r="E55" s="210">
        <v>8519</v>
      </c>
      <c r="F55" s="176">
        <f t="shared" si="18"/>
        <v>6.0374764354863856E-3</v>
      </c>
      <c r="G55" s="203">
        <v>6978</v>
      </c>
      <c r="H55" s="176">
        <f t="shared" si="19"/>
        <v>2.3168953734806789E-3</v>
      </c>
      <c r="I55" s="203">
        <f t="shared" si="4"/>
        <v>15497</v>
      </c>
      <c r="J55" s="280">
        <f t="shared" si="5"/>
        <v>14281</v>
      </c>
      <c r="K55" s="178">
        <f t="shared" si="20"/>
        <v>3.6117508228297249E-3</v>
      </c>
      <c r="L55" s="79">
        <f t="shared" si="7"/>
        <v>3486</v>
      </c>
      <c r="M55" s="197">
        <f t="shared" si="8"/>
        <v>1743</v>
      </c>
      <c r="N55" s="197"/>
      <c r="O55" s="249">
        <f t="shared" si="9"/>
        <v>1743</v>
      </c>
      <c r="P55" s="119">
        <f t="shared" si="16"/>
        <v>769</v>
      </c>
      <c r="Q55" s="80">
        <f>O55-W55</f>
        <v>120</v>
      </c>
      <c r="R55" s="182">
        <f t="shared" si="17"/>
        <v>7.3937153419593352E-2</v>
      </c>
      <c r="S55" s="78"/>
      <c r="T55" s="195">
        <v>3223</v>
      </c>
      <c r="U55" s="197">
        <v>1600</v>
      </c>
      <c r="V55" s="197"/>
      <c r="W55" s="196">
        <v>1623</v>
      </c>
      <c r="X55" s="234">
        <v>724</v>
      </c>
      <c r="Z55" s="177"/>
      <c r="AA55" s="265"/>
      <c r="AB55" s="80"/>
      <c r="AC55" s="80"/>
      <c r="AD55" s="266"/>
      <c r="AE55" s="80"/>
      <c r="AF55" s="266"/>
      <c r="AG55" s="266"/>
      <c r="AH55" s="265"/>
      <c r="AI55" s="80"/>
    </row>
    <row r="56" spans="1:36">
      <c r="A56" s="96">
        <v>48</v>
      </c>
      <c r="B56" s="72" t="s">
        <v>229</v>
      </c>
      <c r="C56" s="287">
        <v>47021</v>
      </c>
      <c r="D56" s="279">
        <v>61165</v>
      </c>
      <c r="E56" s="210">
        <v>20578</v>
      </c>
      <c r="F56" s="176">
        <f t="shared" si="18"/>
        <v>1.4583776275318565E-2</v>
      </c>
      <c r="G56" s="203">
        <v>49361</v>
      </c>
      <c r="H56" s="176">
        <f t="shared" si="19"/>
        <v>1.6389262328801918E-2</v>
      </c>
      <c r="I56" s="203">
        <f t="shared" si="4"/>
        <v>69939</v>
      </c>
      <c r="J56" s="280">
        <f t="shared" si="5"/>
        <v>59375</v>
      </c>
      <c r="K56" s="178">
        <f t="shared" si="20"/>
        <v>1.5016294734648479E-2</v>
      </c>
      <c r="L56" s="79">
        <f t="shared" si="7"/>
        <v>14493</v>
      </c>
      <c r="M56" s="197">
        <f t="shared" si="8"/>
        <v>1750</v>
      </c>
      <c r="N56" s="197"/>
      <c r="O56" s="249">
        <f t="shared" si="9"/>
        <v>12743</v>
      </c>
      <c r="P56" s="119">
        <f t="shared" si="16"/>
        <v>3198</v>
      </c>
      <c r="Q56" s="80">
        <f t="shared" si="3"/>
        <v>1679</v>
      </c>
      <c r="R56" s="182">
        <f t="shared" si="17"/>
        <v>0.1517534345625452</v>
      </c>
      <c r="S56" s="78"/>
      <c r="T56" s="195">
        <v>12664</v>
      </c>
      <c r="U56" s="197">
        <v>1600</v>
      </c>
      <c r="V56" s="197"/>
      <c r="W56" s="196">
        <v>11064</v>
      </c>
      <c r="X56" s="234">
        <v>2846</v>
      </c>
      <c r="Z56" s="177"/>
      <c r="AA56" s="265"/>
      <c r="AB56" s="80"/>
      <c r="AC56" s="80"/>
      <c r="AD56" s="266"/>
      <c r="AE56" s="80"/>
      <c r="AF56" s="266"/>
      <c r="AG56" s="266"/>
      <c r="AH56" s="265"/>
      <c r="AI56" s="80"/>
    </row>
    <row r="57" spans="1:36">
      <c r="A57" s="96">
        <v>49</v>
      </c>
      <c r="B57" s="72" t="s">
        <v>230</v>
      </c>
      <c r="C57" s="287">
        <v>28052</v>
      </c>
      <c r="D57" s="279">
        <v>35294</v>
      </c>
      <c r="E57" s="210">
        <v>10575</v>
      </c>
      <c r="F57" s="176">
        <f t="shared" si="18"/>
        <v>7.4945783901007781E-3</v>
      </c>
      <c r="G57" s="203">
        <v>25599</v>
      </c>
      <c r="H57" s="176">
        <f t="shared" si="19"/>
        <v>8.4995994075282161E-3</v>
      </c>
      <c r="I57" s="203">
        <f t="shared" si="4"/>
        <v>36174</v>
      </c>
      <c r="J57" s="280">
        <f t="shared" si="5"/>
        <v>33173</v>
      </c>
      <c r="K57" s="178">
        <f t="shared" si="20"/>
        <v>8.3896512881262136E-3</v>
      </c>
      <c r="L57" s="79">
        <f t="shared" si="7"/>
        <v>8097</v>
      </c>
      <c r="M57" s="197">
        <f t="shared" si="8"/>
        <v>1750</v>
      </c>
      <c r="N57" s="197"/>
      <c r="O57" s="249">
        <f t="shared" si="9"/>
        <v>6347</v>
      </c>
      <c r="P57" s="119">
        <f t="shared" si="16"/>
        <v>1787</v>
      </c>
      <c r="Q57" s="80">
        <f t="shared" si="3"/>
        <v>235</v>
      </c>
      <c r="R57" s="182">
        <f t="shared" si="17"/>
        <v>3.8448952879581152E-2</v>
      </c>
      <c r="S57" s="78"/>
      <c r="T57" s="195">
        <v>7712</v>
      </c>
      <c r="U57" s="197">
        <v>1600</v>
      </c>
      <c r="V57" s="197"/>
      <c r="W57" s="196">
        <v>6112</v>
      </c>
      <c r="X57" s="234">
        <v>1734</v>
      </c>
      <c r="Z57" s="177"/>
      <c r="AA57" s="265"/>
      <c r="AB57" s="80"/>
      <c r="AC57" s="80"/>
      <c r="AD57" s="266"/>
      <c r="AE57" s="80"/>
      <c r="AF57" s="266"/>
      <c r="AG57" s="266"/>
      <c r="AH57" s="265"/>
      <c r="AI57" s="80"/>
    </row>
    <row r="58" spans="1:36">
      <c r="A58" s="96">
        <v>50</v>
      </c>
      <c r="B58" s="72" t="s">
        <v>179</v>
      </c>
      <c r="C58" s="287">
        <v>43426</v>
      </c>
      <c r="D58" s="279">
        <v>50570</v>
      </c>
      <c r="E58" s="210">
        <v>24004</v>
      </c>
      <c r="F58" s="176">
        <f t="shared" si="18"/>
        <v>1.7011807061558304E-2</v>
      </c>
      <c r="G58" s="203">
        <v>37253</v>
      </c>
      <c r="H58" s="176">
        <f t="shared" si="19"/>
        <v>1.2369060382384025E-2</v>
      </c>
      <c r="I58" s="203">
        <f t="shared" si="4"/>
        <v>61257</v>
      </c>
      <c r="J58" s="280">
        <f t="shared" si="5"/>
        <v>51751</v>
      </c>
      <c r="K58" s="178">
        <f t="shared" si="20"/>
        <v>1.3088139264215468E-2</v>
      </c>
      <c r="L58" s="79">
        <f t="shared" si="7"/>
        <v>12632</v>
      </c>
      <c r="M58" s="197">
        <f t="shared" si="8"/>
        <v>1750</v>
      </c>
      <c r="N58" s="197"/>
      <c r="O58" s="249">
        <f t="shared" si="9"/>
        <v>10882</v>
      </c>
      <c r="P58" s="119">
        <f t="shared" si="16"/>
        <v>2788</v>
      </c>
      <c r="Q58" s="80">
        <f t="shared" si="3"/>
        <v>94</v>
      </c>
      <c r="R58" s="182">
        <f t="shared" si="17"/>
        <v>8.7133852428624391E-3</v>
      </c>
      <c r="S58" s="78"/>
      <c r="T58" s="195">
        <v>12388</v>
      </c>
      <c r="U58" s="197">
        <v>1600</v>
      </c>
      <c r="V58" s="197"/>
      <c r="W58" s="196">
        <v>10788</v>
      </c>
      <c r="X58" s="234">
        <v>2784</v>
      </c>
      <c r="Z58" s="177"/>
      <c r="AA58" s="265"/>
      <c r="AB58" s="80"/>
      <c r="AC58" s="80"/>
      <c r="AD58" s="266"/>
      <c r="AE58" s="80"/>
      <c r="AF58" s="266"/>
      <c r="AG58" s="266"/>
      <c r="AH58" s="265"/>
      <c r="AI58" s="80"/>
    </row>
    <row r="59" spans="1:36">
      <c r="A59" s="96">
        <v>51</v>
      </c>
      <c r="B59" s="129" t="s">
        <v>231</v>
      </c>
      <c r="C59" s="287">
        <v>38578</v>
      </c>
      <c r="D59" s="279">
        <v>51741</v>
      </c>
      <c r="E59" s="210">
        <v>17962</v>
      </c>
      <c r="F59" s="176">
        <f t="shared" si="18"/>
        <v>1.2729798301937606E-2</v>
      </c>
      <c r="G59" s="203">
        <v>35858</v>
      </c>
      <c r="H59" s="176">
        <f t="shared" si="19"/>
        <v>1.1905880524830922E-2</v>
      </c>
      <c r="I59" s="203">
        <f t="shared" si="4"/>
        <v>53820</v>
      </c>
      <c r="J59" s="280">
        <f t="shared" si="5"/>
        <v>48046</v>
      </c>
      <c r="K59" s="178">
        <f t="shared" si="20"/>
        <v>1.2151122472773402E-2</v>
      </c>
      <c r="L59" s="79">
        <f t="shared" si="7"/>
        <v>11728</v>
      </c>
      <c r="M59" s="197">
        <f t="shared" si="8"/>
        <v>1750</v>
      </c>
      <c r="N59" s="197"/>
      <c r="O59" s="249">
        <f t="shared" si="9"/>
        <v>9978</v>
      </c>
      <c r="P59" s="119">
        <f t="shared" si="16"/>
        <v>2588</v>
      </c>
      <c r="Q59" s="80">
        <f t="shared" si="3"/>
        <v>1406</v>
      </c>
      <c r="R59" s="182">
        <f t="shared" si="17"/>
        <v>0.16402239850676623</v>
      </c>
      <c r="S59" s="78"/>
      <c r="T59" s="195">
        <v>10172</v>
      </c>
      <c r="U59" s="197">
        <v>1600</v>
      </c>
      <c r="V59" s="197"/>
      <c r="W59" s="196">
        <v>8572</v>
      </c>
      <c r="X59" s="234">
        <v>2286</v>
      </c>
      <c r="Z59" s="177"/>
      <c r="AA59" s="265"/>
      <c r="AB59" s="80"/>
      <c r="AC59" s="80"/>
      <c r="AD59" s="266"/>
      <c r="AE59" s="80"/>
      <c r="AF59" s="266"/>
      <c r="AG59" s="266"/>
      <c r="AH59" s="265"/>
      <c r="AI59" s="80"/>
    </row>
    <row r="60" spans="1:36">
      <c r="A60" s="96">
        <v>52</v>
      </c>
      <c r="B60" s="129" t="s">
        <v>232</v>
      </c>
      <c r="C60" s="287">
        <v>23880</v>
      </c>
      <c r="D60" s="279">
        <v>24328</v>
      </c>
      <c r="E60" s="210">
        <v>13015</v>
      </c>
      <c r="F60" s="176">
        <f t="shared" si="18"/>
        <v>9.2238239004408164E-3</v>
      </c>
      <c r="G60" s="203">
        <v>14259</v>
      </c>
      <c r="H60" s="176">
        <f t="shared" si="19"/>
        <v>4.7343954041933218E-3</v>
      </c>
      <c r="I60" s="203">
        <f t="shared" si="4"/>
        <v>27274</v>
      </c>
      <c r="J60" s="280">
        <f t="shared" si="5"/>
        <v>25161</v>
      </c>
      <c r="K60" s="178">
        <f t="shared" si="20"/>
        <v>6.3633682832587848E-3</v>
      </c>
      <c r="L60" s="79">
        <f t="shared" si="7"/>
        <v>6142</v>
      </c>
      <c r="M60" s="197">
        <f t="shared" si="8"/>
        <v>1750</v>
      </c>
      <c r="N60" s="197"/>
      <c r="O60" s="249">
        <f t="shared" si="9"/>
        <v>4392</v>
      </c>
      <c r="P60" s="119">
        <f t="shared" si="16"/>
        <v>1355</v>
      </c>
      <c r="Q60" s="80">
        <f t="shared" si="3"/>
        <v>-23</v>
      </c>
      <c r="R60" s="182">
        <f t="shared" si="17"/>
        <v>-5.2095130237825591E-3</v>
      </c>
      <c r="S60" s="78"/>
      <c r="T60" s="195">
        <v>6015</v>
      </c>
      <c r="U60" s="197">
        <v>1600</v>
      </c>
      <c r="V60" s="197"/>
      <c r="W60" s="196">
        <v>4415</v>
      </c>
      <c r="X60" s="234">
        <v>1352</v>
      </c>
      <c r="Z60" s="177"/>
      <c r="AA60" s="265"/>
      <c r="AB60" s="80"/>
      <c r="AC60" s="80"/>
      <c r="AD60" s="266"/>
      <c r="AE60" s="80"/>
      <c r="AF60" s="266"/>
      <c r="AG60" s="266"/>
      <c r="AH60" s="265"/>
      <c r="AI60" s="80"/>
    </row>
    <row r="61" spans="1:36" ht="15" customHeight="1" thickBot="1">
      <c r="A61" s="96">
        <v>53</v>
      </c>
      <c r="B61" s="72" t="s">
        <v>180</v>
      </c>
      <c r="C61" s="287">
        <v>30410</v>
      </c>
      <c r="D61" s="279">
        <v>34006</v>
      </c>
      <c r="E61" s="210">
        <v>15116</v>
      </c>
      <c r="F61" s="176">
        <f t="shared" si="18"/>
        <v>1.0712817677991808E-2</v>
      </c>
      <c r="G61" s="203">
        <v>19241</v>
      </c>
      <c r="H61" s="176">
        <f t="shared" si="19"/>
        <v>6.3885617485155829E-3</v>
      </c>
      <c r="I61" s="203">
        <f t="shared" si="4"/>
        <v>34357</v>
      </c>
      <c r="J61" s="280">
        <f t="shared" si="5"/>
        <v>32924</v>
      </c>
      <c r="K61" s="178">
        <f t="shared" si="20"/>
        <v>8.3266776899969096E-3</v>
      </c>
      <c r="L61" s="79">
        <f t="shared" si="7"/>
        <v>8036</v>
      </c>
      <c r="M61" s="197">
        <f t="shared" si="8"/>
        <v>1750</v>
      </c>
      <c r="N61" s="274"/>
      <c r="O61" s="275">
        <f t="shared" si="9"/>
        <v>6286</v>
      </c>
      <c r="P61" s="276">
        <f t="shared" si="16"/>
        <v>1773</v>
      </c>
      <c r="Q61" s="267">
        <f t="shared" si="3"/>
        <v>250</v>
      </c>
      <c r="R61" s="277">
        <f t="shared" si="17"/>
        <v>4.1418157720344601E-2</v>
      </c>
      <c r="S61" s="78"/>
      <c r="T61" s="195">
        <v>7636</v>
      </c>
      <c r="U61" s="197">
        <v>1600</v>
      </c>
      <c r="V61" s="197"/>
      <c r="W61" s="196">
        <v>6036</v>
      </c>
      <c r="X61" s="234">
        <v>1716</v>
      </c>
      <c r="Z61" s="177"/>
      <c r="AA61" s="265"/>
      <c r="AB61" s="80"/>
      <c r="AC61" s="80"/>
      <c r="AD61" s="266"/>
      <c r="AE61" s="267"/>
      <c r="AF61" s="266"/>
      <c r="AG61" s="266"/>
      <c r="AH61" s="265"/>
      <c r="AI61" s="80"/>
    </row>
    <row r="62" spans="1:36" s="75" customFormat="1" ht="19.5" customHeight="1" thickBot="1">
      <c r="B62" s="81" t="s">
        <v>233</v>
      </c>
      <c r="C62" s="82">
        <f>SUM(C9:C61)</f>
        <v>3535018</v>
      </c>
      <c r="D62" s="82">
        <f>SUM(D9:D61)</f>
        <v>3904294</v>
      </c>
      <c r="E62" s="82">
        <f t="shared" ref="E62:Q62" si="21">SUM(E9:E61)</f>
        <v>1411020</v>
      </c>
      <c r="F62" s="83">
        <f t="shared" si="21"/>
        <v>1.0000000000000002</v>
      </c>
      <c r="G62" s="82">
        <f t="shared" si="21"/>
        <v>3011789</v>
      </c>
      <c r="H62" s="83">
        <f t="shared" si="21"/>
        <v>0.99999999999999967</v>
      </c>
      <c r="I62" s="82">
        <f>SUM(I9:I61)</f>
        <v>4422809</v>
      </c>
      <c r="J62" s="82">
        <f t="shared" si="21"/>
        <v>3954038</v>
      </c>
      <c r="K62" s="83">
        <f t="shared" si="21"/>
        <v>0.99999999999999978</v>
      </c>
      <c r="L62" s="84">
        <f t="shared" si="21"/>
        <v>965145</v>
      </c>
      <c r="M62" s="85">
        <f t="shared" si="21"/>
        <v>90082</v>
      </c>
      <c r="N62" s="85">
        <f t="shared" si="21"/>
        <v>10000</v>
      </c>
      <c r="O62" s="139">
        <f t="shared" si="21"/>
        <v>865063</v>
      </c>
      <c r="P62" s="120">
        <f t="shared" si="21"/>
        <v>212984</v>
      </c>
      <c r="Q62" s="85">
        <f t="shared" si="21"/>
        <v>47888.5</v>
      </c>
      <c r="R62" s="86">
        <f t="shared" si="17"/>
        <v>6.060908857402604E-2</v>
      </c>
      <c r="T62" s="153">
        <f>SUM(T9:T61)</f>
        <v>917065</v>
      </c>
      <c r="U62" s="87">
        <f>SUM(U9:U61)</f>
        <v>81436.5</v>
      </c>
      <c r="V62" s="87">
        <f>SUM(V9:V61)</f>
        <v>20000</v>
      </c>
      <c r="W62" s="87">
        <f>SUM(W9:W61)</f>
        <v>815628.5</v>
      </c>
      <c r="X62" s="154">
        <f>SUM(X9:X61)</f>
        <v>206125</v>
      </c>
      <c r="Z62" s="202"/>
      <c r="AA62" s="202"/>
      <c r="AB62" s="87"/>
      <c r="AC62" s="87"/>
      <c r="AE62" s="152"/>
      <c r="AI62" s="202"/>
    </row>
    <row r="63" spans="1:36">
      <c r="L63" s="88"/>
      <c r="M63" s="89"/>
      <c r="N63" s="89"/>
      <c r="O63" s="89"/>
      <c r="P63" s="89"/>
      <c r="Q63" s="89"/>
      <c r="R63" s="90"/>
      <c r="T63" s="91"/>
      <c r="X63" s="92"/>
      <c r="AB63" s="80"/>
      <c r="AI63" s="284"/>
      <c r="AJ63" s="129"/>
    </row>
    <row r="64" spans="1:36" ht="13.5" thickBot="1">
      <c r="E64" s="93"/>
      <c r="F64" s="93"/>
      <c r="G64" s="93"/>
      <c r="H64" s="93"/>
      <c r="I64" s="93"/>
      <c r="J64" s="93"/>
      <c r="K64" s="94"/>
      <c r="L64" s="97"/>
      <c r="M64" s="98"/>
      <c r="N64" s="98"/>
      <c r="O64" s="99"/>
      <c r="P64" s="99"/>
      <c r="Q64" s="99"/>
      <c r="R64" s="100"/>
      <c r="T64" s="101"/>
      <c r="U64" s="102"/>
      <c r="V64" s="102"/>
      <c r="W64" s="152"/>
      <c r="X64" s="100"/>
      <c r="AB64" s="264"/>
    </row>
    <row r="65" spans="2:11">
      <c r="E65" s="95"/>
      <c r="F65" s="95"/>
      <c r="G65" s="95"/>
      <c r="H65" s="95"/>
      <c r="I65" s="95"/>
      <c r="J65" s="95"/>
      <c r="K65" s="96"/>
    </row>
    <row r="67" spans="2:11">
      <c r="I67" s="103"/>
      <c r="J67" s="103"/>
    </row>
    <row r="68" spans="2:11">
      <c r="B68" s="71"/>
      <c r="C68" s="71"/>
      <c r="D68" s="71"/>
      <c r="G68" s="71"/>
      <c r="I68" s="71" t="s">
        <v>316</v>
      </c>
    </row>
    <row r="69" spans="2:11" ht="19.5" customHeight="1">
      <c r="B69" s="129"/>
      <c r="C69" s="129"/>
      <c r="D69" s="129"/>
      <c r="G69" s="129"/>
      <c r="I69" s="129" t="s">
        <v>167</v>
      </c>
      <c r="J69" s="80">
        <f>J31</f>
        <v>592964</v>
      </c>
      <c r="K69" s="248">
        <f>J69/$J$72</f>
        <v>0.54106158530632054</v>
      </c>
    </row>
    <row r="70" spans="2:11">
      <c r="B70" s="129"/>
      <c r="C70" s="129"/>
      <c r="D70" s="129"/>
      <c r="G70" s="129"/>
      <c r="I70" s="129" t="s">
        <v>166</v>
      </c>
      <c r="J70" s="80">
        <f>J22</f>
        <v>255893</v>
      </c>
      <c r="K70" s="248">
        <f>J70/$J$72</f>
        <v>0.23349456670015431</v>
      </c>
    </row>
    <row r="71" spans="2:11" ht="13.5" thickBot="1">
      <c r="B71" s="129"/>
      <c r="C71" s="129"/>
      <c r="D71" s="129"/>
      <c r="G71" s="129"/>
      <c r="I71" s="129" t="s">
        <v>177</v>
      </c>
      <c r="J71" s="80">
        <f>J53</f>
        <v>247070</v>
      </c>
      <c r="K71" s="248">
        <f>J71/$J$72</f>
        <v>0.22544384799352513</v>
      </c>
    </row>
    <row r="72" spans="2:11" ht="21" customHeight="1" thickBot="1">
      <c r="B72" s="129"/>
      <c r="C72" s="129"/>
      <c r="D72" s="129"/>
      <c r="G72" s="129"/>
      <c r="I72" s="129" t="s">
        <v>158</v>
      </c>
      <c r="J72" s="246">
        <f>SUM(J69:J71)</f>
        <v>1095927</v>
      </c>
      <c r="K72" s="247">
        <f>SUM(K69:K71)</f>
        <v>1</v>
      </c>
    </row>
  </sheetData>
  <mergeCells count="3">
    <mergeCell ref="L6:R6"/>
    <mergeCell ref="L7:R7"/>
    <mergeCell ref="T7:X7"/>
  </mergeCells>
  <phoneticPr fontId="9" type="noConversion"/>
  <conditionalFormatting sqref="AF9:AF61">
    <cfRule type="cellIs" dxfId="2" priority="2" operator="lessThan">
      <formula>$AF$6</formula>
    </cfRule>
    <cfRule type="cellIs" dxfId="1" priority="3" operator="greaterThan">
      <formula>$AF$6</formula>
    </cfRule>
  </conditionalFormatting>
  <conditionalFormatting sqref="AG9:AG61">
    <cfRule type="cellIs" dxfId="0" priority="1" operator="greaterThan">
      <formula>0</formula>
    </cfRule>
  </conditionalFormatting>
  <printOptions horizontalCentered="1" gridLines="1"/>
  <pageMargins left="0.2" right="0.2" top="0.52" bottom="0.41" header="0.23" footer="0.17"/>
  <pageSetup scale="55" orientation="landscape" r:id="rId1"/>
  <headerFooter>
    <oddHeader>&amp;C2024 Preliminary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4" width="9" customWidth="1"/>
    <col min="15" max="15" width="9.375" customWidth="1"/>
    <col min="16" max="17" width="11" customWidth="1"/>
    <col min="18" max="20" width="0" hidden="1" customWidth="1"/>
  </cols>
  <sheetData>
    <row r="1" spans="1:20">
      <c r="A1" s="27" t="s">
        <v>234</v>
      </c>
      <c r="B1" s="18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0">
      <c r="A2" s="27" t="s">
        <v>235</v>
      </c>
      <c r="B2" s="18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0">
      <c r="A3" s="29">
        <v>45064</v>
      </c>
      <c r="B3" s="18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0">
      <c r="A4" s="30"/>
      <c r="B4" s="3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0" ht="15" thickBot="1">
      <c r="A5" s="28"/>
      <c r="B5" s="32"/>
      <c r="C5" s="318"/>
      <c r="D5" s="318"/>
      <c r="E5" s="318"/>
      <c r="F5" s="318"/>
      <c r="G5" s="156"/>
      <c r="H5" s="156"/>
      <c r="I5" s="318"/>
      <c r="J5" s="318"/>
      <c r="K5" s="27"/>
      <c r="L5" s="27"/>
      <c r="M5" s="27"/>
      <c r="N5" s="27"/>
      <c r="O5" s="28"/>
    </row>
    <row r="6" spans="1:20" ht="36" customHeight="1" thickBot="1">
      <c r="A6" s="28"/>
      <c r="B6" s="33" t="s">
        <v>236</v>
      </c>
      <c r="C6" s="34" t="s">
        <v>237</v>
      </c>
      <c r="D6" s="35">
        <v>2001</v>
      </c>
      <c r="E6" s="35">
        <v>2002</v>
      </c>
      <c r="F6" s="35">
        <v>2003</v>
      </c>
      <c r="G6" s="36" t="s">
        <v>238</v>
      </c>
      <c r="H6" s="36" t="s">
        <v>239</v>
      </c>
      <c r="I6" s="35">
        <v>2004</v>
      </c>
      <c r="J6" s="35" t="s">
        <v>240</v>
      </c>
      <c r="K6" s="37">
        <v>2011</v>
      </c>
      <c r="L6" s="37">
        <v>2012</v>
      </c>
      <c r="M6" s="37" t="s">
        <v>241</v>
      </c>
      <c r="N6" s="33" t="s">
        <v>412</v>
      </c>
      <c r="O6" s="38" t="s">
        <v>296</v>
      </c>
      <c r="P6" s="156"/>
      <c r="Q6" s="156"/>
      <c r="R6" s="156"/>
      <c r="S6" s="156"/>
      <c r="T6" s="39"/>
    </row>
    <row r="7" spans="1:20">
      <c r="A7" s="40" t="s">
        <v>242</v>
      </c>
      <c r="B7" s="3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>
        <v>0</v>
      </c>
    </row>
    <row r="8" spans="1:20">
      <c r="A8" s="27" t="s">
        <v>243</v>
      </c>
      <c r="B8" s="32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>
        <v>24000</v>
      </c>
      <c r="N8" s="185"/>
      <c r="O8" s="42">
        <f>SUM(C8:N8)</f>
        <v>24000</v>
      </c>
      <c r="P8" s="185"/>
      <c r="Q8" s="185"/>
      <c r="R8" s="185"/>
      <c r="S8" s="185"/>
      <c r="T8" s="28"/>
    </row>
    <row r="9" spans="1:20">
      <c r="A9" s="28" t="s">
        <v>244</v>
      </c>
      <c r="B9" s="186">
        <v>54000</v>
      </c>
      <c r="C9" s="41">
        <f>$B$9/4</f>
        <v>13500</v>
      </c>
      <c r="D9" s="41">
        <f>$B$9/4</f>
        <v>13500</v>
      </c>
      <c r="E9" s="41">
        <f>$B$9/4</f>
        <v>13500</v>
      </c>
      <c r="F9" s="41">
        <v>13500</v>
      </c>
      <c r="G9" s="41">
        <v>-18507</v>
      </c>
      <c r="H9" s="41">
        <v>18507</v>
      </c>
      <c r="I9" s="28"/>
      <c r="J9" s="114">
        <v>11000</v>
      </c>
      <c r="K9" s="114"/>
      <c r="L9" s="114"/>
      <c r="M9" s="114">
        <v>-65000</v>
      </c>
      <c r="N9" s="114"/>
      <c r="O9" s="42">
        <f>SUM(C9:N9)</f>
        <v>0</v>
      </c>
      <c r="P9" s="41"/>
      <c r="Q9" s="28"/>
      <c r="R9" s="28"/>
      <c r="S9" s="28"/>
      <c r="T9" s="41"/>
    </row>
    <row r="10" spans="1:20">
      <c r="A10" s="28" t="s">
        <v>245</v>
      </c>
      <c r="B10" s="186">
        <v>28000</v>
      </c>
      <c r="C10" s="41">
        <f>$B$10/4</f>
        <v>7000</v>
      </c>
      <c r="D10" s="41">
        <f>$B$10/4</f>
        <v>7000</v>
      </c>
      <c r="E10" s="41">
        <f>$B$10/4</f>
        <v>7000</v>
      </c>
      <c r="F10" s="41">
        <f>$B$10/4</f>
        <v>7000</v>
      </c>
      <c r="G10" s="41"/>
      <c r="H10" s="41"/>
      <c r="I10" s="288"/>
      <c r="J10" s="288">
        <v>-3000</v>
      </c>
      <c r="K10" s="114"/>
      <c r="L10" s="114"/>
      <c r="M10" s="114">
        <v>-25000</v>
      </c>
      <c r="N10" s="114"/>
      <c r="O10" s="42">
        <f>SUM(C10:N10)</f>
        <v>0</v>
      </c>
      <c r="P10" s="41"/>
      <c r="Q10" s="28"/>
      <c r="R10" s="28"/>
      <c r="S10" s="28"/>
      <c r="T10" s="41"/>
    </row>
    <row r="11" spans="1:20">
      <c r="A11" s="28"/>
      <c r="B11" s="32"/>
      <c r="C11" s="41"/>
      <c r="D11" s="28"/>
      <c r="E11" s="28"/>
      <c r="F11" s="28"/>
      <c r="G11" s="28"/>
      <c r="H11" s="28"/>
      <c r="I11" s="288"/>
      <c r="J11" s="288"/>
      <c r="K11" s="114"/>
      <c r="L11" s="114"/>
      <c r="M11" s="114"/>
      <c r="N11" s="114"/>
      <c r="O11" s="28"/>
      <c r="P11" s="28"/>
      <c r="Q11" s="28"/>
      <c r="R11" s="28"/>
      <c r="S11" s="28"/>
      <c r="T11" s="28"/>
    </row>
    <row r="12" spans="1:20">
      <c r="A12" s="28"/>
      <c r="B12" s="32"/>
      <c r="C12" s="41"/>
      <c r="D12" s="28"/>
      <c r="E12" s="28"/>
      <c r="F12" s="28"/>
      <c r="G12" s="28"/>
      <c r="H12" s="28"/>
      <c r="I12" s="288"/>
      <c r="J12" s="288"/>
      <c r="K12" s="114"/>
      <c r="L12" s="114"/>
      <c r="M12" s="114"/>
      <c r="N12" s="114"/>
      <c r="O12" s="28"/>
      <c r="P12" s="28"/>
      <c r="Q12" s="28"/>
      <c r="R12" s="28"/>
      <c r="S12" s="28"/>
      <c r="T12" s="28"/>
    </row>
    <row r="13" spans="1:20">
      <c r="A13" s="28"/>
      <c r="B13" s="32"/>
      <c r="C13" s="28"/>
      <c r="D13" s="28"/>
      <c r="E13" s="28"/>
      <c r="F13" s="28"/>
      <c r="G13" s="28"/>
      <c r="H13" s="28"/>
      <c r="I13" s="288"/>
      <c r="J13" s="288"/>
      <c r="K13" s="114"/>
      <c r="L13" s="114"/>
      <c r="M13" s="114"/>
      <c r="N13" s="114"/>
      <c r="O13" s="28"/>
      <c r="P13" s="28"/>
      <c r="Q13" s="28"/>
      <c r="R13" s="28"/>
      <c r="S13" s="28"/>
      <c r="T13" s="28"/>
    </row>
    <row r="14" spans="1:20">
      <c r="A14" s="27" t="s">
        <v>246</v>
      </c>
      <c r="B14" s="32"/>
      <c r="C14" s="28"/>
      <c r="D14" s="28"/>
      <c r="E14" s="28"/>
      <c r="F14" s="28"/>
      <c r="G14" s="28"/>
      <c r="H14" s="28"/>
      <c r="I14" s="288"/>
      <c r="J14" s="288"/>
      <c r="K14" s="114"/>
      <c r="L14" s="114"/>
      <c r="M14" s="114"/>
      <c r="N14" s="114"/>
      <c r="O14" s="28"/>
      <c r="P14" s="28"/>
      <c r="Q14" s="28"/>
      <c r="R14" s="28"/>
      <c r="S14" s="28"/>
      <c r="T14" s="28"/>
    </row>
    <row r="15" spans="1:20">
      <c r="A15" s="28" t="s">
        <v>247</v>
      </c>
      <c r="B15" s="186">
        <v>260000</v>
      </c>
      <c r="C15" s="114">
        <f>$B$15/10</f>
        <v>26000</v>
      </c>
      <c r="D15" s="114">
        <f>$B$15/10</f>
        <v>26000</v>
      </c>
      <c r="E15" s="114">
        <f>$B$15/10</f>
        <v>26000</v>
      </c>
      <c r="F15" s="114">
        <f>$B$15/10</f>
        <v>26000</v>
      </c>
      <c r="G15" s="114"/>
      <c r="H15" s="114"/>
      <c r="I15" s="114">
        <v>26000</v>
      </c>
      <c r="J15" s="288">
        <v>0</v>
      </c>
      <c r="K15" s="114">
        <v>-19683</v>
      </c>
      <c r="L15" s="114">
        <v>-85292</v>
      </c>
      <c r="M15" s="114">
        <v>94975</v>
      </c>
      <c r="N15" s="114"/>
      <c r="O15" s="42">
        <f>SUM(C15:N15)</f>
        <v>120000</v>
      </c>
      <c r="P15" s="183"/>
      <c r="Q15" s="28"/>
      <c r="R15" s="28"/>
      <c r="S15" s="28"/>
      <c r="T15" s="41"/>
    </row>
    <row r="16" spans="1:20">
      <c r="A16" s="28"/>
      <c r="B16" s="32"/>
      <c r="C16" s="28"/>
      <c r="D16" s="28"/>
      <c r="E16" s="28"/>
      <c r="F16" s="28"/>
      <c r="G16" s="28"/>
      <c r="H16" s="28"/>
      <c r="I16" s="288"/>
      <c r="J16" s="288"/>
      <c r="K16" s="114"/>
      <c r="L16" s="114"/>
      <c r="M16" s="114"/>
      <c r="N16" s="114"/>
      <c r="O16" s="28"/>
      <c r="P16" s="28"/>
      <c r="Q16" s="28"/>
      <c r="R16" s="28"/>
      <c r="S16" s="28"/>
      <c r="T16" s="28"/>
    </row>
    <row r="17" spans="1:20">
      <c r="A17" s="28"/>
      <c r="B17" s="32"/>
      <c r="C17" s="28"/>
      <c r="D17" s="28"/>
      <c r="E17" s="28"/>
      <c r="F17" s="28"/>
      <c r="G17" s="28"/>
      <c r="H17" s="28"/>
      <c r="I17" s="288"/>
      <c r="J17" s="288"/>
      <c r="K17" s="114"/>
      <c r="L17" s="114"/>
      <c r="M17" s="114"/>
      <c r="N17" s="114"/>
      <c r="O17" s="28"/>
      <c r="P17" s="28"/>
      <c r="Q17" s="28"/>
      <c r="R17" s="28"/>
      <c r="S17" s="28"/>
      <c r="T17" s="28"/>
    </row>
    <row r="18" spans="1:20">
      <c r="A18" s="28"/>
      <c r="B18" s="32"/>
      <c r="C18" s="28"/>
      <c r="D18" s="28"/>
      <c r="E18" s="28"/>
      <c r="F18" s="28"/>
      <c r="G18" s="28"/>
      <c r="H18" s="28"/>
      <c r="I18" s="288"/>
      <c r="J18" s="288"/>
      <c r="K18" s="114"/>
      <c r="L18" s="114"/>
      <c r="M18" s="114"/>
      <c r="N18" s="114"/>
      <c r="O18" s="28"/>
      <c r="P18" s="28"/>
      <c r="Q18" s="28"/>
      <c r="R18" s="28"/>
      <c r="S18" s="28"/>
      <c r="T18" s="28"/>
    </row>
    <row r="19" spans="1:20">
      <c r="A19" s="27" t="s">
        <v>248</v>
      </c>
      <c r="B19" s="32"/>
      <c r="C19" s="28"/>
      <c r="D19" s="28"/>
      <c r="E19" s="28"/>
      <c r="F19" s="28"/>
      <c r="G19" s="28"/>
      <c r="H19" s="28"/>
      <c r="I19" s="288"/>
      <c r="J19" s="288"/>
      <c r="K19" s="114"/>
      <c r="L19" s="114"/>
      <c r="M19" s="114"/>
      <c r="N19" s="114"/>
      <c r="O19" s="28"/>
      <c r="P19" s="28"/>
      <c r="Q19" s="28"/>
      <c r="R19" s="28"/>
      <c r="S19" s="28"/>
      <c r="T19" s="28"/>
    </row>
    <row r="20" spans="1:20">
      <c r="A20" s="28" t="s">
        <v>249</v>
      </c>
      <c r="B20" s="186">
        <v>30000</v>
      </c>
      <c r="C20" s="114">
        <f>$B$20/4</f>
        <v>7500</v>
      </c>
      <c r="D20" s="114">
        <f>$B$20/4</f>
        <v>7500</v>
      </c>
      <c r="E20" s="114">
        <f>$B$20/4</f>
        <v>7500</v>
      </c>
      <c r="F20" s="114">
        <v>7500</v>
      </c>
      <c r="G20" s="114">
        <v>-21000</v>
      </c>
      <c r="H20" s="114">
        <v>21000</v>
      </c>
      <c r="I20" s="288"/>
      <c r="J20" s="288">
        <v>-5000</v>
      </c>
      <c r="K20" s="114"/>
      <c r="L20" s="114"/>
      <c r="M20" s="114"/>
      <c r="N20" s="114"/>
      <c r="O20" s="42">
        <f>SUM(C20:N20)</f>
        <v>25000</v>
      </c>
      <c r="P20" s="183"/>
      <c r="Q20" s="28"/>
      <c r="R20" s="28"/>
      <c r="S20" s="28"/>
      <c r="T20" s="41"/>
    </row>
    <row r="21" spans="1:20">
      <c r="A21" s="28" t="s">
        <v>250</v>
      </c>
      <c r="B21" s="186">
        <v>30000</v>
      </c>
      <c r="C21" s="114">
        <f>$B$21/4</f>
        <v>7500</v>
      </c>
      <c r="D21" s="114">
        <f>$B$21/4</f>
        <v>7500</v>
      </c>
      <c r="E21" s="114">
        <f>$B$21/4</f>
        <v>7500</v>
      </c>
      <c r="F21" s="114">
        <f>$B$21/4</f>
        <v>7500</v>
      </c>
      <c r="G21" s="114"/>
      <c r="H21" s="114"/>
      <c r="I21" s="288"/>
      <c r="J21" s="288"/>
      <c r="K21" s="114"/>
      <c r="L21" s="114"/>
      <c r="O21" s="42">
        <f>SUM(C21:N21)</f>
        <v>30000</v>
      </c>
      <c r="P21" s="183"/>
      <c r="Q21" s="28"/>
      <c r="R21" s="28"/>
      <c r="S21" s="28"/>
      <c r="T21" s="41"/>
    </row>
    <row r="22" spans="1:20">
      <c r="A22" s="28"/>
      <c r="B22" s="32"/>
      <c r="C22" s="28"/>
      <c r="D22" s="28"/>
      <c r="E22" s="28"/>
      <c r="F22" s="28"/>
      <c r="G22" s="28"/>
      <c r="H22" s="28"/>
      <c r="I22" s="288"/>
      <c r="J22" s="288"/>
      <c r="K22" s="114"/>
      <c r="L22" s="114"/>
      <c r="M22" s="114"/>
      <c r="N22" s="114"/>
      <c r="O22" s="28"/>
      <c r="P22" s="28"/>
      <c r="Q22" s="28"/>
      <c r="R22" s="28"/>
      <c r="S22" s="28"/>
      <c r="T22" s="28"/>
    </row>
    <row r="23" spans="1:20">
      <c r="A23" s="28"/>
      <c r="B23" s="32"/>
      <c r="C23" s="28"/>
      <c r="D23" s="28"/>
      <c r="E23" s="28"/>
      <c r="F23" s="28"/>
      <c r="G23" s="28"/>
      <c r="H23" s="28"/>
      <c r="I23" s="288"/>
      <c r="J23" s="288"/>
      <c r="K23" s="114"/>
      <c r="L23" s="114"/>
      <c r="M23" s="114"/>
      <c r="N23" s="114"/>
      <c r="O23" s="28"/>
      <c r="P23" s="28"/>
      <c r="Q23" s="28"/>
      <c r="R23" s="28"/>
      <c r="S23" s="28"/>
      <c r="T23" s="28"/>
    </row>
    <row r="24" spans="1:20">
      <c r="A24" s="28"/>
      <c r="B24" s="32"/>
      <c r="C24" s="28"/>
      <c r="D24" s="28"/>
      <c r="E24" s="28"/>
      <c r="F24" s="28"/>
      <c r="G24" s="28"/>
      <c r="H24" s="28"/>
      <c r="I24" s="288"/>
      <c r="J24" s="288"/>
      <c r="K24" s="114"/>
      <c r="L24" s="114"/>
      <c r="M24" s="114"/>
      <c r="N24" s="114"/>
      <c r="O24" s="28"/>
      <c r="P24" s="28"/>
      <c r="Q24" s="28"/>
      <c r="R24" s="28"/>
      <c r="S24" s="28"/>
      <c r="T24" s="28"/>
    </row>
    <row r="25" spans="1:20">
      <c r="A25" s="27" t="s">
        <v>251</v>
      </c>
      <c r="B25" s="187">
        <v>0.1</v>
      </c>
      <c r="C25" s="43">
        <f>SUM(C9:C21)*0.1</f>
        <v>6150</v>
      </c>
      <c r="D25" s="43">
        <f>SUM(D9:D21)*0.1</f>
        <v>6150</v>
      </c>
      <c r="E25" s="43">
        <f>SUM(E9:E21)*0.1</f>
        <v>6150</v>
      </c>
      <c r="F25" s="43">
        <f>SUM(F9:F21)*0.1</f>
        <v>6150</v>
      </c>
      <c r="G25" s="43"/>
      <c r="H25" s="43"/>
      <c r="I25" s="288">
        <v>3400</v>
      </c>
      <c r="J25" s="288">
        <v>-3000</v>
      </c>
      <c r="K25" s="114"/>
      <c r="L25" s="114"/>
      <c r="M25" s="114"/>
      <c r="N25" s="114"/>
      <c r="O25" s="42">
        <f>SUM(C25:N25)</f>
        <v>25000</v>
      </c>
      <c r="P25" s="43"/>
      <c r="Q25" s="28"/>
      <c r="R25" s="28"/>
      <c r="S25" s="28"/>
      <c r="T25" s="43"/>
    </row>
    <row r="26" spans="1:20">
      <c r="A26" s="28"/>
      <c r="B26" s="32"/>
      <c r="C26" s="28"/>
      <c r="D26" s="28"/>
      <c r="E26" s="28"/>
      <c r="F26" s="28"/>
      <c r="G26" s="28"/>
      <c r="H26" s="28"/>
      <c r="I26" s="288"/>
      <c r="J26" s="28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5" thickBot="1">
      <c r="A27" s="28"/>
      <c r="B27" s="3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5" thickBot="1">
      <c r="A28" s="27" t="s">
        <v>252</v>
      </c>
      <c r="B28" s="32"/>
      <c r="C28" s="188">
        <f t="shared" ref="C28:K28" si="0">SUM(C9:C27)</f>
        <v>67650</v>
      </c>
      <c r="D28" s="188">
        <f t="shared" si="0"/>
        <v>67650</v>
      </c>
      <c r="E28" s="188">
        <f t="shared" si="0"/>
        <v>67650</v>
      </c>
      <c r="F28" s="188">
        <f t="shared" si="0"/>
        <v>67650</v>
      </c>
      <c r="G28" s="188">
        <f t="shared" si="0"/>
        <v>-39507</v>
      </c>
      <c r="H28" s="188">
        <f t="shared" si="0"/>
        <v>39507</v>
      </c>
      <c r="I28" s="188">
        <f t="shared" si="0"/>
        <v>29400</v>
      </c>
      <c r="J28" s="188">
        <f t="shared" si="0"/>
        <v>0</v>
      </c>
      <c r="K28" s="188">
        <f t="shared" si="0"/>
        <v>-19683</v>
      </c>
      <c r="L28" s="188">
        <f>SUM(L9:L27)</f>
        <v>-85292</v>
      </c>
      <c r="M28" s="188">
        <f>SUM(M8:M27)</f>
        <v>28975</v>
      </c>
      <c r="N28" s="188">
        <f>SUM(N8:N27)</f>
        <v>0</v>
      </c>
      <c r="O28" s="188">
        <f>SUM(O8:O27)</f>
        <v>224000</v>
      </c>
      <c r="P28" s="185"/>
      <c r="Q28" s="185"/>
      <c r="R28" s="185"/>
      <c r="S28" s="185"/>
      <c r="T28" s="185"/>
    </row>
    <row r="29" spans="1:20" ht="15" thickBot="1"/>
    <row r="30" spans="1:20" ht="15" thickBot="1">
      <c r="A30" s="44" t="s">
        <v>253</v>
      </c>
      <c r="C30" s="45">
        <f>C28</f>
        <v>67650</v>
      </c>
      <c r="D30" s="45">
        <f t="shared" ref="D30:K30" si="1">C30+D28</f>
        <v>135300</v>
      </c>
      <c r="E30" s="45">
        <f t="shared" si="1"/>
        <v>202950</v>
      </c>
      <c r="F30" s="45">
        <f t="shared" si="1"/>
        <v>270600</v>
      </c>
      <c r="G30" s="45">
        <f t="shared" si="1"/>
        <v>231093</v>
      </c>
      <c r="H30" s="45">
        <f t="shared" si="1"/>
        <v>270600</v>
      </c>
      <c r="I30" s="45">
        <f t="shared" si="1"/>
        <v>300000</v>
      </c>
      <c r="J30" s="45">
        <f t="shared" si="1"/>
        <v>300000</v>
      </c>
      <c r="K30" s="45">
        <f t="shared" si="1"/>
        <v>280317</v>
      </c>
      <c r="L30" s="45">
        <f>K30+L28</f>
        <v>195025</v>
      </c>
      <c r="M30" s="45">
        <f>L30+M28</f>
        <v>224000</v>
      </c>
      <c r="N30" s="45">
        <f>M30+N28</f>
        <v>224000</v>
      </c>
      <c r="O30" s="45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&amp;C&amp;K0000002024 Preliminary MORE Budget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860BAE2-2262-4C24-9CF2-332B2C49F7D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2024 Preliminary budget</vt:lpstr>
      <vt:lpstr>Carryover</vt:lpstr>
      <vt:lpstr>2024 Cost to Libs</vt:lpstr>
      <vt:lpstr>MORE Formula w 3-yr Avg '20-'22</vt:lpstr>
      <vt:lpstr>Reserves</vt:lpstr>
      <vt:lpstr>'2024 Preliminary budget'!Print_Area</vt:lpstr>
      <vt:lpstr>Carryover!Print_Area</vt:lpstr>
      <vt:lpstr>'MORE Formula w 3-yr Avg ''20-''22'!Print_Area</vt:lpstr>
      <vt:lpstr>'2024 Cost to Libs'!Print_Titles</vt:lpstr>
      <vt:lpstr>'2024 Preliminary budget'!Print_Titles</vt:lpstr>
      <vt:lpstr>'MORE Formula w 3-yr Avg ''20-''22'!Print_Titles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2023-04-25T19:02:04Z</cp:lastPrinted>
  <dcterms:created xsi:type="dcterms:W3CDTF">2001-03-30T14:44:35Z</dcterms:created>
  <dcterms:modified xsi:type="dcterms:W3CDTF">2023-05-18T18:15:05Z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