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xr:revisionPtr revIDLastSave="0" documentId="13_ncr:1_{F47BEC65-779B-43B0-96B1-F60E5300811E}" xr6:coauthVersionLast="47" xr6:coauthVersionMax="47" xr10:uidLastSave="{00000000-0000-0000-0000-000000000000}"/>
  <bookViews>
    <workbookView xWindow="19092" yWindow="-2184" windowWidth="23256" windowHeight="13176" tabRatio="573" xr2:uid="{00000000-000D-0000-FFFF-FFFF00000000}"/>
  </bookViews>
  <sheets>
    <sheet name="2023 Preliminary budget" sheetId="18" r:id="rId1"/>
    <sheet name="Carryover" sheetId="22" r:id="rId2"/>
    <sheet name="2023 Cost to Libs" sheetId="20" r:id="rId3"/>
    <sheet name="MORE Formula w 3-yr Avg '19-'21" sheetId="21" r:id="rId4"/>
    <sheet name="Reserves" sheetId="19" r:id="rId5"/>
  </sheets>
  <definedNames>
    <definedName name="_xlnm.Print_Area" localSheetId="0">'2023 Preliminary budget'!$A$1:$I$52</definedName>
    <definedName name="_xlnm.Print_Area" localSheetId="1">Carryover!$A$1:$F$133</definedName>
    <definedName name="_xlnm.Print_Area" localSheetId="3">'MORE Formula w 3-yr Avg ''19-''21'!$A$1:$X$61</definedName>
    <definedName name="_xlnm.Print_Titles" localSheetId="2">'2023 Cost to Libs'!$10:$10</definedName>
    <definedName name="_xlnm.Print_Titles" localSheetId="0">'2023 Preliminary budget'!$5:$6</definedName>
    <definedName name="_xlnm.Print_Titles" localSheetId="3">'MORE Formula w 3-yr Avg ''19-''21'!$B:$B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0" l="1"/>
  <c r="M1" i="21"/>
  <c r="F5" i="21" s="1"/>
  <c r="H25" i="18"/>
  <c r="H51" i="18"/>
  <c r="F51" i="18"/>
  <c r="C131" i="22"/>
  <c r="C143" i="22"/>
  <c r="C136" i="22"/>
  <c r="V61" i="21" l="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9" i="21"/>
  <c r="I29" i="21"/>
  <c r="I26" i="21"/>
  <c r="C128" i="22" l="1"/>
  <c r="I33" i="21" l="1"/>
  <c r="C129" i="22"/>
  <c r="E8" i="20" l="1"/>
  <c r="D79" i="20" l="1"/>
  <c r="F95" i="20" l="1"/>
  <c r="D86" i="20" l="1"/>
  <c r="D81" i="20" l="1"/>
  <c r="E47" i="18" l="1"/>
  <c r="D82" i="20" l="1"/>
  <c r="D83" i="20"/>
  <c r="D84" i="20"/>
  <c r="D85" i="20"/>
  <c r="D87" i="20"/>
  <c r="D88" i="20"/>
  <c r="D89" i="20"/>
  <c r="D90" i="20"/>
  <c r="D91" i="20"/>
  <c r="D92" i="20"/>
  <c r="D93" i="20"/>
  <c r="D94" i="20"/>
  <c r="D80" i="20"/>
  <c r="D75" i="20"/>
  <c r="D76" i="20"/>
  <c r="D77" i="20"/>
  <c r="D74" i="20"/>
  <c r="D73" i="20"/>
  <c r="H47" i="18" l="1"/>
  <c r="D47" i="18"/>
  <c r="D4" i="20" l="1"/>
  <c r="J47" i="18"/>
  <c r="E5" i="21"/>
  <c r="H40" i="18"/>
  <c r="H5" i="21" s="1"/>
  <c r="D40" i="18"/>
  <c r="F108" i="22" l="1"/>
  <c r="F47" i="18" l="1"/>
  <c r="F40" i="18"/>
  <c r="E61" i="21" l="1"/>
  <c r="F29" i="21" s="1"/>
  <c r="F33" i="21" l="1"/>
  <c r="F26" i="21"/>
  <c r="E7" i="20"/>
  <c r="D5" i="20" l="1"/>
  <c r="I10" i="21" l="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7" i="21"/>
  <c r="I28" i="21"/>
  <c r="I30" i="21"/>
  <c r="I31" i="21"/>
  <c r="I32" i="21"/>
  <c r="I34" i="21"/>
  <c r="I35" i="21"/>
  <c r="I36" i="21"/>
  <c r="I37" i="21"/>
  <c r="I38" i="21"/>
  <c r="I39" i="21"/>
  <c r="I40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9" i="21"/>
  <c r="I41" i="21"/>
  <c r="J61" i="21" l="1"/>
  <c r="K29" i="21" s="1"/>
  <c r="D63" i="20" s="1"/>
  <c r="J63" i="20" s="1"/>
  <c r="J70" i="21"/>
  <c r="J69" i="21"/>
  <c r="J68" i="21"/>
  <c r="C89" i="22"/>
  <c r="P29" i="21" l="1"/>
  <c r="K17" i="21"/>
  <c r="K26" i="21"/>
  <c r="D14" i="20" s="1"/>
  <c r="K21" i="21"/>
  <c r="K47" i="21"/>
  <c r="J71" i="21"/>
  <c r="K68" i="21" s="1"/>
  <c r="K31" i="21"/>
  <c r="K32" i="21"/>
  <c r="K44" i="21"/>
  <c r="K30" i="21"/>
  <c r="K54" i="21"/>
  <c r="K23" i="21"/>
  <c r="K50" i="21"/>
  <c r="K55" i="21"/>
  <c r="K42" i="21"/>
  <c r="K58" i="21"/>
  <c r="K25" i="21"/>
  <c r="K56" i="21"/>
  <c r="K15" i="21"/>
  <c r="K43" i="21"/>
  <c r="K60" i="21"/>
  <c r="K38" i="21"/>
  <c r="K41" i="21"/>
  <c r="K39" i="21"/>
  <c r="K52" i="21"/>
  <c r="K48" i="21"/>
  <c r="K49" i="21"/>
  <c r="K10" i="21"/>
  <c r="K51" i="21"/>
  <c r="K18" i="21"/>
  <c r="K11" i="21"/>
  <c r="K53" i="21"/>
  <c r="K57" i="21"/>
  <c r="K59" i="21"/>
  <c r="K45" i="21"/>
  <c r="K13" i="21"/>
  <c r="K33" i="21"/>
  <c r="K46" i="21"/>
  <c r="K35" i="21"/>
  <c r="K40" i="21"/>
  <c r="K27" i="21"/>
  <c r="K19" i="21"/>
  <c r="K12" i="21"/>
  <c r="K34" i="21"/>
  <c r="K14" i="21"/>
  <c r="K16" i="21"/>
  <c r="K37" i="21"/>
  <c r="K28" i="21"/>
  <c r="K20" i="21"/>
  <c r="K36" i="21"/>
  <c r="K22" i="21"/>
  <c r="K24" i="21"/>
  <c r="K9" i="21"/>
  <c r="D95" i="20"/>
  <c r="J14" i="20" l="1"/>
  <c r="I14" i="20"/>
  <c r="K69" i="21"/>
  <c r="N22" i="21" s="1"/>
  <c r="G39" i="20" s="1"/>
  <c r="K70" i="21"/>
  <c r="N52" i="21" s="1"/>
  <c r="G28" i="20" s="1"/>
  <c r="P26" i="21"/>
  <c r="N30" i="21"/>
  <c r="K71" i="21"/>
  <c r="N28" i="19"/>
  <c r="N61" i="21" l="1"/>
  <c r="G20" i="20"/>
  <c r="G66" i="20" s="1"/>
  <c r="C86" i="22"/>
  <c r="M28" i="19"/>
  <c r="O8" i="19"/>
  <c r="C20" i="22"/>
  <c r="C28" i="22" s="1"/>
  <c r="C29" i="22"/>
  <c r="C38" i="22"/>
  <c r="C39" i="22"/>
  <c r="C44" i="22"/>
  <c r="C75" i="22"/>
  <c r="X61" i="21"/>
  <c r="W61" i="21"/>
  <c r="U61" i="21"/>
  <c r="T61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I61" i="21"/>
  <c r="G61" i="21"/>
  <c r="H29" i="21" s="1"/>
  <c r="H33" i="21" l="1"/>
  <c r="H26" i="21"/>
  <c r="D62" i="20"/>
  <c r="H10" i="21"/>
  <c r="H14" i="21"/>
  <c r="H18" i="21"/>
  <c r="H22" i="21"/>
  <c r="H27" i="21"/>
  <c r="H32" i="21"/>
  <c r="H37" i="21"/>
  <c r="H41" i="21"/>
  <c r="H45" i="21"/>
  <c r="H49" i="21"/>
  <c r="H53" i="21"/>
  <c r="H57" i="21"/>
  <c r="H9" i="21"/>
  <c r="H15" i="21"/>
  <c r="H28" i="21"/>
  <c r="H38" i="21"/>
  <c r="H50" i="21"/>
  <c r="H58" i="21"/>
  <c r="H16" i="21"/>
  <c r="H24" i="21"/>
  <c r="H30" i="21"/>
  <c r="H39" i="21"/>
  <c r="H47" i="21"/>
  <c r="H55" i="21"/>
  <c r="H13" i="21"/>
  <c r="H17" i="21"/>
  <c r="H21" i="21"/>
  <c r="H25" i="21"/>
  <c r="H31" i="21"/>
  <c r="H36" i="21"/>
  <c r="H40" i="21"/>
  <c r="H44" i="21"/>
  <c r="H48" i="21"/>
  <c r="H52" i="21"/>
  <c r="H56" i="21"/>
  <c r="H60" i="21"/>
  <c r="H11" i="21"/>
  <c r="H19" i="21"/>
  <c r="H23" i="21"/>
  <c r="H34" i="21"/>
  <c r="H42" i="21"/>
  <c r="H46" i="21"/>
  <c r="H54" i="21"/>
  <c r="H12" i="21"/>
  <c r="H20" i="21"/>
  <c r="H35" i="21"/>
  <c r="H43" i="21"/>
  <c r="H51" i="21"/>
  <c r="H59" i="21"/>
  <c r="F12" i="21"/>
  <c r="F16" i="21"/>
  <c r="F20" i="21"/>
  <c r="F24" i="21"/>
  <c r="F30" i="21"/>
  <c r="F35" i="21"/>
  <c r="F39" i="21"/>
  <c r="F43" i="21"/>
  <c r="F47" i="21"/>
  <c r="F51" i="21"/>
  <c r="F55" i="21"/>
  <c r="F59" i="21"/>
  <c r="F15" i="21"/>
  <c r="F28" i="21"/>
  <c r="F42" i="21"/>
  <c r="F54" i="21"/>
  <c r="F13" i="21"/>
  <c r="F17" i="21"/>
  <c r="F21" i="21"/>
  <c r="F25" i="21"/>
  <c r="F31" i="21"/>
  <c r="F36" i="21"/>
  <c r="F40" i="21"/>
  <c r="F44" i="21"/>
  <c r="F48" i="21"/>
  <c r="F52" i="21"/>
  <c r="F56" i="21"/>
  <c r="F60" i="21"/>
  <c r="F19" i="21"/>
  <c r="F34" i="21"/>
  <c r="F46" i="21"/>
  <c r="F58" i="21"/>
  <c r="F10" i="21"/>
  <c r="F14" i="21"/>
  <c r="F18" i="21"/>
  <c r="F22" i="21"/>
  <c r="F27" i="21"/>
  <c r="F32" i="21"/>
  <c r="F37" i="21"/>
  <c r="F41" i="21"/>
  <c r="F45" i="21"/>
  <c r="F49" i="21"/>
  <c r="F53" i="21"/>
  <c r="F57" i="21"/>
  <c r="F9" i="21"/>
  <c r="F11" i="21"/>
  <c r="F23" i="21"/>
  <c r="F38" i="21"/>
  <c r="F50" i="21"/>
  <c r="D38" i="20"/>
  <c r="I38" i="20" s="1"/>
  <c r="D30" i="20"/>
  <c r="I30" i="20" s="1"/>
  <c r="D61" i="20"/>
  <c r="D32" i="20"/>
  <c r="I32" i="20" s="1"/>
  <c r="D40" i="20"/>
  <c r="I40" i="20" s="1"/>
  <c r="D57" i="20"/>
  <c r="I57" i="20" s="1"/>
  <c r="D23" i="20"/>
  <c r="I23" i="20" s="1"/>
  <c r="D33" i="20"/>
  <c r="I33" i="20" s="1"/>
  <c r="D11" i="20"/>
  <c r="D36" i="20"/>
  <c r="I36" i="20" s="1"/>
  <c r="D25" i="20"/>
  <c r="I25" i="20" s="1"/>
  <c r="D15" i="20"/>
  <c r="I15" i="20" s="1"/>
  <c r="D60" i="20"/>
  <c r="I60" i="20" s="1"/>
  <c r="D18" i="20"/>
  <c r="I18" i="20" s="1"/>
  <c r="D48" i="20"/>
  <c r="I48" i="20" s="1"/>
  <c r="D50" i="20"/>
  <c r="I50" i="20" s="1"/>
  <c r="D53" i="20"/>
  <c r="I53" i="20" s="1"/>
  <c r="D46" i="20"/>
  <c r="I46" i="20" s="1"/>
  <c r="D52" i="20"/>
  <c r="I52" i="20" s="1"/>
  <c r="D24" i="20"/>
  <c r="I24" i="20" s="1"/>
  <c r="D42" i="20"/>
  <c r="I42" i="20" s="1"/>
  <c r="D56" i="20"/>
  <c r="I56" i="20" s="1"/>
  <c r="D34" i="20"/>
  <c r="I34" i="20" s="1"/>
  <c r="D21" i="20"/>
  <c r="I21" i="20" s="1"/>
  <c r="D29" i="20"/>
  <c r="I29" i="20" s="1"/>
  <c r="D19" i="20"/>
  <c r="I19" i="20" s="1"/>
  <c r="D54" i="20"/>
  <c r="I54" i="20" s="1"/>
  <c r="D49" i="20"/>
  <c r="I49" i="20" s="1"/>
  <c r="D51" i="20"/>
  <c r="I51" i="20" s="1"/>
  <c r="D22" i="20"/>
  <c r="I22" i="20" s="1"/>
  <c r="D39" i="20"/>
  <c r="I39" i="20" s="1"/>
  <c r="D59" i="20"/>
  <c r="I59" i="20" s="1"/>
  <c r="D44" i="20"/>
  <c r="I44" i="20" s="1"/>
  <c r="D13" i="20"/>
  <c r="I13" i="20" s="1"/>
  <c r="D12" i="20"/>
  <c r="I12" i="20" s="1"/>
  <c r="D16" i="20"/>
  <c r="I16" i="20" s="1"/>
  <c r="D27" i="20"/>
  <c r="I27" i="20" s="1"/>
  <c r="D17" i="20"/>
  <c r="I17" i="20" s="1"/>
  <c r="D28" i="20"/>
  <c r="I28" i="20" s="1"/>
  <c r="D35" i="20"/>
  <c r="I35" i="20" s="1"/>
  <c r="D31" i="20"/>
  <c r="I31" i="20" s="1"/>
  <c r="D55" i="20"/>
  <c r="I55" i="20" s="1"/>
  <c r="D45" i="20"/>
  <c r="I45" i="20" s="1"/>
  <c r="D41" i="20"/>
  <c r="I41" i="20" s="1"/>
  <c r="D58" i="20"/>
  <c r="I58" i="20" s="1"/>
  <c r="D20" i="20"/>
  <c r="I20" i="20" s="1"/>
  <c r="D37" i="20"/>
  <c r="I37" i="20" s="1"/>
  <c r="D47" i="20"/>
  <c r="I47" i="20" s="1"/>
  <c r="D43" i="20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G5" i="21"/>
  <c r="L26" i="21" s="1"/>
  <c r="M26" i="21" s="1"/>
  <c r="I26" i="20"/>
  <c r="C25" i="19"/>
  <c r="J9" i="20"/>
  <c r="J62" i="20" s="1"/>
  <c r="E28" i="22"/>
  <c r="C43" i="22"/>
  <c r="O26" i="21" l="1"/>
  <c r="L29" i="21"/>
  <c r="M29" i="21" s="1"/>
  <c r="O29" i="21" s="1"/>
  <c r="L9" i="21"/>
  <c r="M9" i="21" s="1"/>
  <c r="L32" i="21"/>
  <c r="M32" i="21" s="1"/>
  <c r="L59" i="21"/>
  <c r="M59" i="21" s="1"/>
  <c r="L31" i="21"/>
  <c r="M31" i="21" s="1"/>
  <c r="L14" i="21"/>
  <c r="M14" i="21" s="1"/>
  <c r="L49" i="21"/>
  <c r="M49" i="21" s="1"/>
  <c r="L38" i="21"/>
  <c r="M38" i="21" s="1"/>
  <c r="L34" i="21"/>
  <c r="M34" i="21" s="1"/>
  <c r="L33" i="21"/>
  <c r="M33" i="21" s="1"/>
  <c r="O33" i="21" s="1"/>
  <c r="L18" i="21"/>
  <c r="M18" i="21" s="1"/>
  <c r="L53" i="21"/>
  <c r="M53" i="21" s="1"/>
  <c r="L20" i="21"/>
  <c r="M20" i="21" s="1"/>
  <c r="L13" i="21"/>
  <c r="M13" i="21" s="1"/>
  <c r="L52" i="21"/>
  <c r="M52" i="21" s="1"/>
  <c r="L58" i="21"/>
  <c r="M58" i="21" s="1"/>
  <c r="L25" i="21"/>
  <c r="M25" i="21" s="1"/>
  <c r="L37" i="21"/>
  <c r="M37" i="21" s="1"/>
  <c r="L48" i="21"/>
  <c r="M48" i="21" s="1"/>
  <c r="L21" i="21"/>
  <c r="M21" i="21" s="1"/>
  <c r="L19" i="21"/>
  <c r="M19" i="21" s="1"/>
  <c r="L36" i="21"/>
  <c r="M36" i="21" s="1"/>
  <c r="L30" i="21"/>
  <c r="M30" i="21" s="1"/>
  <c r="L17" i="21"/>
  <c r="M17" i="21" s="1"/>
  <c r="L12" i="21"/>
  <c r="M12" i="21" s="1"/>
  <c r="L15" i="21"/>
  <c r="M15" i="21" s="1"/>
  <c r="L35" i="21"/>
  <c r="M35" i="21" s="1"/>
  <c r="L60" i="21"/>
  <c r="M60" i="21" s="1"/>
  <c r="L40" i="21"/>
  <c r="M40" i="21" s="1"/>
  <c r="L57" i="21"/>
  <c r="M57" i="21" s="1"/>
  <c r="L43" i="21"/>
  <c r="M43" i="21" s="1"/>
  <c r="L55" i="21"/>
  <c r="M55" i="21" s="1"/>
  <c r="L41" i="21"/>
  <c r="M41" i="21" s="1"/>
  <c r="L10" i="21"/>
  <c r="M10" i="21" s="1"/>
  <c r="L46" i="21"/>
  <c r="M46" i="21" s="1"/>
  <c r="L56" i="21"/>
  <c r="M56" i="21" s="1"/>
  <c r="L45" i="21"/>
  <c r="M45" i="21" s="1"/>
  <c r="L16" i="21"/>
  <c r="M16" i="21" s="1"/>
  <c r="L11" i="21"/>
  <c r="M11" i="21" s="1"/>
  <c r="L50" i="21"/>
  <c r="M50" i="21" s="1"/>
  <c r="L22" i="21"/>
  <c r="M22" i="21" s="1"/>
  <c r="L54" i="21"/>
  <c r="M54" i="21" s="1"/>
  <c r="L24" i="21"/>
  <c r="M24" i="21" s="1"/>
  <c r="L39" i="21"/>
  <c r="M39" i="21" s="1"/>
  <c r="L42" i="21"/>
  <c r="M42" i="21" s="1"/>
  <c r="L27" i="21"/>
  <c r="M27" i="21" s="1"/>
  <c r="L44" i="21"/>
  <c r="M44" i="21" s="1"/>
  <c r="L47" i="21"/>
  <c r="M47" i="21" s="1"/>
  <c r="L23" i="21"/>
  <c r="M23" i="21" s="1"/>
  <c r="L51" i="21"/>
  <c r="M51" i="21" s="1"/>
  <c r="L28" i="21"/>
  <c r="M28" i="21" s="1"/>
  <c r="P33" i="21"/>
  <c r="P55" i="21"/>
  <c r="P10" i="21"/>
  <c r="J58" i="20"/>
  <c r="P9" i="21"/>
  <c r="P16" i="21"/>
  <c r="F61" i="21"/>
  <c r="P50" i="21"/>
  <c r="P54" i="21"/>
  <c r="P57" i="21"/>
  <c r="P17" i="21"/>
  <c r="P37" i="21"/>
  <c r="P32" i="21"/>
  <c r="P58" i="21"/>
  <c r="P53" i="21"/>
  <c r="P56" i="21"/>
  <c r="P40" i="21"/>
  <c r="P49" i="21"/>
  <c r="P35" i="21"/>
  <c r="P59" i="21"/>
  <c r="P23" i="21"/>
  <c r="P12" i="21"/>
  <c r="P15" i="21"/>
  <c r="P24" i="21"/>
  <c r="P45" i="21"/>
  <c r="P11" i="21"/>
  <c r="P48" i="21"/>
  <c r="P25" i="21"/>
  <c r="P31" i="21"/>
  <c r="P21" i="21"/>
  <c r="P30" i="21"/>
  <c r="P42" i="21"/>
  <c r="P39" i="21"/>
  <c r="P36" i="21"/>
  <c r="P60" i="21"/>
  <c r="P51" i="21"/>
  <c r="P13" i="21"/>
  <c r="P41" i="21"/>
  <c r="P20" i="21"/>
  <c r="P19" i="21"/>
  <c r="P22" i="21"/>
  <c r="P43" i="21"/>
  <c r="P52" i="21"/>
  <c r="P44" i="21"/>
  <c r="P47" i="21"/>
  <c r="P46" i="21"/>
  <c r="P14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D6" i="20"/>
  <c r="H61" i="21"/>
  <c r="P38" i="21"/>
  <c r="P18" i="21"/>
  <c r="P34" i="21"/>
  <c r="P28" i="21"/>
  <c r="P27" i="21"/>
  <c r="K61" i="21"/>
  <c r="J19" i="20"/>
  <c r="J15" i="20"/>
  <c r="J17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R33" i="21" l="1"/>
  <c r="Q33" i="21"/>
  <c r="K9" i="20"/>
  <c r="E14" i="20"/>
  <c r="E13" i="20"/>
  <c r="F13" i="20" s="1"/>
  <c r="E63" i="20"/>
  <c r="E19" i="20"/>
  <c r="F19" i="20" s="1"/>
  <c r="E62" i="20"/>
  <c r="O44" i="21"/>
  <c r="O47" i="21"/>
  <c r="R47" i="21" s="1"/>
  <c r="O46" i="21"/>
  <c r="O56" i="21"/>
  <c r="R56" i="21" s="1"/>
  <c r="O9" i="21"/>
  <c r="O23" i="21"/>
  <c r="R23" i="21" s="1"/>
  <c r="O27" i="21"/>
  <c r="O32" i="21"/>
  <c r="R32" i="21" s="1"/>
  <c r="O57" i="21"/>
  <c r="O41" i="21"/>
  <c r="Q41" i="21" s="1"/>
  <c r="O14" i="21"/>
  <c r="O40" i="21"/>
  <c r="R40" i="21" s="1"/>
  <c r="O54" i="21"/>
  <c r="O10" i="21"/>
  <c r="Q10" i="21" s="1"/>
  <c r="O60" i="21"/>
  <c r="O38" i="21"/>
  <c r="O28" i="21"/>
  <c r="O30" i="21"/>
  <c r="Q30" i="21" s="1"/>
  <c r="O16" i="21"/>
  <c r="O36" i="21"/>
  <c r="R36" i="21" s="1"/>
  <c r="O51" i="21"/>
  <c r="O12" i="21"/>
  <c r="R12" i="21" s="1"/>
  <c r="O35" i="21"/>
  <c r="O53" i="21"/>
  <c r="O59" i="21"/>
  <c r="O15" i="21"/>
  <c r="R15" i="21" s="1"/>
  <c r="O24" i="21"/>
  <c r="O11" i="21"/>
  <c r="O39" i="21"/>
  <c r="O17" i="21"/>
  <c r="Q17" i="21" s="1"/>
  <c r="O25" i="21"/>
  <c r="O55" i="21"/>
  <c r="R55" i="21" s="1"/>
  <c r="O49" i="21"/>
  <c r="O22" i="21"/>
  <c r="O52" i="21"/>
  <c r="O19" i="21"/>
  <c r="O43" i="21"/>
  <c r="O21" i="21"/>
  <c r="Q21" i="21" s="1"/>
  <c r="O37" i="21"/>
  <c r="O18" i="21"/>
  <c r="O42" i="21"/>
  <c r="O48" i="21"/>
  <c r="Q48" i="21" s="1"/>
  <c r="O13" i="21"/>
  <c r="O20" i="21"/>
  <c r="O31" i="21"/>
  <c r="O34" i="21"/>
  <c r="R34" i="21" s="1"/>
  <c r="O58" i="21"/>
  <c r="O50" i="21"/>
  <c r="Q50" i="21" s="1"/>
  <c r="O45" i="21"/>
  <c r="E23" i="20"/>
  <c r="F23" i="20" s="1"/>
  <c r="E25" i="20"/>
  <c r="F25" i="20" s="1"/>
  <c r="E50" i="20"/>
  <c r="F50" i="20" s="1"/>
  <c r="E60" i="20"/>
  <c r="F60" i="20" s="1"/>
  <c r="E22" i="20"/>
  <c r="F22" i="20" s="1"/>
  <c r="L61" i="21"/>
  <c r="E51" i="20"/>
  <c r="F51" i="20" s="1"/>
  <c r="E56" i="20"/>
  <c r="F56" i="20" s="1"/>
  <c r="E43" i="20"/>
  <c r="F43" i="20" s="1"/>
  <c r="E38" i="20"/>
  <c r="F38" i="20" s="1"/>
  <c r="E11" i="20"/>
  <c r="F11" i="20" s="1"/>
  <c r="E37" i="20"/>
  <c r="F37" i="20" s="1"/>
  <c r="E44" i="20"/>
  <c r="F44" i="20" s="1"/>
  <c r="P61" i="21"/>
  <c r="E33" i="20"/>
  <c r="F33" i="20" s="1"/>
  <c r="E57" i="20"/>
  <c r="F57" i="20" s="1"/>
  <c r="E45" i="20"/>
  <c r="F45" i="20" s="1"/>
  <c r="E26" i="20"/>
  <c r="F26" i="20" s="1"/>
  <c r="E42" i="20"/>
  <c r="F42" i="20" s="1"/>
  <c r="E21" i="20"/>
  <c r="F21" i="20" s="1"/>
  <c r="E52" i="20"/>
  <c r="F52" i="20" s="1"/>
  <c r="E39" i="20"/>
  <c r="F39" i="20" s="1"/>
  <c r="E46" i="20"/>
  <c r="F46" i="20" s="1"/>
  <c r="E17" i="20"/>
  <c r="F17" i="20" s="1"/>
  <c r="E58" i="20"/>
  <c r="F58" i="20" s="1"/>
  <c r="E16" i="20"/>
  <c r="F16" i="20" s="1"/>
  <c r="E32" i="20"/>
  <c r="F32" i="20" s="1"/>
  <c r="E15" i="20"/>
  <c r="F15" i="20" s="1"/>
  <c r="E24" i="20"/>
  <c r="F24" i="20" s="1"/>
  <c r="E31" i="20"/>
  <c r="F31" i="20" s="1"/>
  <c r="E30" i="20"/>
  <c r="F30" i="20" s="1"/>
  <c r="E54" i="20"/>
  <c r="F54" i="20" s="1"/>
  <c r="E53" i="20"/>
  <c r="F53" i="20" s="1"/>
  <c r="E35" i="20"/>
  <c r="F35" i="20" s="1"/>
  <c r="E27" i="20"/>
  <c r="F27" i="20" s="1"/>
  <c r="E40" i="20"/>
  <c r="F40" i="20" s="1"/>
  <c r="E29" i="20"/>
  <c r="F29" i="20" s="1"/>
  <c r="E48" i="20"/>
  <c r="F48" i="20" s="1"/>
  <c r="E47" i="20"/>
  <c r="F47" i="20" s="1"/>
  <c r="E41" i="20"/>
  <c r="F41" i="20" s="1"/>
  <c r="E12" i="20"/>
  <c r="F12" i="20" s="1"/>
  <c r="E34" i="20"/>
  <c r="F34" i="20" s="1"/>
  <c r="E59" i="20"/>
  <c r="F59" i="20" s="1"/>
  <c r="E18" i="20"/>
  <c r="F18" i="20" s="1"/>
  <c r="E55" i="20"/>
  <c r="F55" i="20" s="1"/>
  <c r="E61" i="20"/>
  <c r="F61" i="20" s="1"/>
  <c r="E36" i="20"/>
  <c r="F36" i="20" s="1"/>
  <c r="E49" i="20"/>
  <c r="F49" i="20" s="1"/>
  <c r="E20" i="20"/>
  <c r="F20" i="20" s="1"/>
  <c r="E28" i="20"/>
  <c r="F28" i="20" s="1"/>
  <c r="I11" i="20"/>
  <c r="I66" i="20" s="1"/>
  <c r="D66" i="20"/>
  <c r="J66" i="20"/>
  <c r="C60" i="22"/>
  <c r="E60" i="22" s="1"/>
  <c r="C69" i="22" s="1"/>
  <c r="E69" i="22" s="1"/>
  <c r="C76" i="22" s="1"/>
  <c r="E54" i="22"/>
  <c r="F63" i="20" l="1"/>
  <c r="H63" i="20" s="1"/>
  <c r="K63" i="20" s="1"/>
  <c r="H14" i="20"/>
  <c r="K14" i="20" s="1"/>
  <c r="H19" i="20"/>
  <c r="K19" i="20" s="1"/>
  <c r="F62" i="20"/>
  <c r="H62" i="20" s="1"/>
  <c r="K62" i="20" s="1"/>
  <c r="Q22" i="21"/>
  <c r="R22" i="21"/>
  <c r="R46" i="21"/>
  <c r="Q46" i="21"/>
  <c r="Q27" i="21"/>
  <c r="R27" i="21"/>
  <c r="R9" i="21"/>
  <c r="Q9" i="21"/>
  <c r="R14" i="21"/>
  <c r="Q14" i="21"/>
  <c r="R57" i="21"/>
  <c r="Q57" i="21"/>
  <c r="R44" i="21"/>
  <c r="Q44" i="21"/>
  <c r="H28" i="20"/>
  <c r="H61" i="20"/>
  <c r="H34" i="20"/>
  <c r="H48" i="20"/>
  <c r="H27" i="20"/>
  <c r="H30" i="20"/>
  <c r="H32" i="20"/>
  <c r="H46" i="20"/>
  <c r="H21" i="20"/>
  <c r="H57" i="20"/>
  <c r="H37" i="20"/>
  <c r="H56" i="20"/>
  <c r="H60" i="20"/>
  <c r="H23" i="20"/>
  <c r="H20" i="20"/>
  <c r="H55" i="20"/>
  <c r="H12" i="20"/>
  <c r="H29" i="20"/>
  <c r="H35" i="20"/>
  <c r="H31" i="20"/>
  <c r="H16" i="20"/>
  <c r="H39" i="20"/>
  <c r="H42" i="20"/>
  <c r="H33" i="20"/>
  <c r="H11" i="20"/>
  <c r="H51" i="20"/>
  <c r="H50" i="20"/>
  <c r="H49" i="20"/>
  <c r="H18" i="20"/>
  <c r="H41" i="20"/>
  <c r="H13" i="20"/>
  <c r="H53" i="20"/>
  <c r="H24" i="20"/>
  <c r="H58" i="20"/>
  <c r="H26" i="20"/>
  <c r="K26" i="20" s="1"/>
  <c r="H38" i="20"/>
  <c r="H36" i="20"/>
  <c r="H59" i="20"/>
  <c r="H47" i="20"/>
  <c r="H40" i="20"/>
  <c r="H54" i="20"/>
  <c r="H15" i="20"/>
  <c r="H17" i="20"/>
  <c r="H52" i="20"/>
  <c r="H45" i="20"/>
  <c r="H44" i="20"/>
  <c r="H43" i="20"/>
  <c r="H22" i="20"/>
  <c r="H25" i="20"/>
  <c r="Q23" i="21"/>
  <c r="R38" i="21"/>
  <c r="Q38" i="21"/>
  <c r="Q11" i="21"/>
  <c r="R11" i="21"/>
  <c r="R18" i="21"/>
  <c r="Q18" i="21"/>
  <c r="R53" i="21"/>
  <c r="Q53" i="21"/>
  <c r="Q20" i="21"/>
  <c r="R20" i="21"/>
  <c r="Q60" i="21"/>
  <c r="R60" i="21"/>
  <c r="Q19" i="21"/>
  <c r="R19" i="21"/>
  <c r="M61" i="21"/>
  <c r="G6" i="21" s="1"/>
  <c r="R17" i="21"/>
  <c r="Q47" i="21"/>
  <c r="Q40" i="21"/>
  <c r="Q45" i="21"/>
  <c r="R45" i="21"/>
  <c r="R59" i="21"/>
  <c r="Q59" i="21"/>
  <c r="Q52" i="21"/>
  <c r="R52" i="21"/>
  <c r="R24" i="21"/>
  <c r="Q24" i="21"/>
  <c r="R16" i="21"/>
  <c r="Q16" i="21"/>
  <c r="O61" i="21"/>
  <c r="R61" i="21" s="1"/>
  <c r="Q42" i="21"/>
  <c r="R42" i="21"/>
  <c r="Q13" i="21"/>
  <c r="R13" i="21"/>
  <c r="R31" i="21"/>
  <c r="Q31" i="21"/>
  <c r="R43" i="21"/>
  <c r="Q43" i="21"/>
  <c r="R39" i="21"/>
  <c r="Q39" i="21"/>
  <c r="R51" i="21"/>
  <c r="Q51" i="21"/>
  <c r="Q49" i="21"/>
  <c r="R49" i="21"/>
  <c r="R28" i="21"/>
  <c r="Q28" i="21"/>
  <c r="R58" i="21"/>
  <c r="Q58" i="21"/>
  <c r="R37" i="21"/>
  <c r="Q37" i="21"/>
  <c r="R25" i="21"/>
  <c r="Q25" i="21"/>
  <c r="R35" i="21"/>
  <c r="Q35" i="21"/>
  <c r="Q54" i="21"/>
  <c r="R54" i="21"/>
  <c r="R50" i="21"/>
  <c r="Q56" i="21"/>
  <c r="Q15" i="21"/>
  <c r="Q55" i="21"/>
  <c r="R48" i="21"/>
  <c r="Q12" i="21"/>
  <c r="Q32" i="21"/>
  <c r="R41" i="21"/>
  <c r="Q36" i="21"/>
  <c r="R21" i="21"/>
  <c r="R30" i="21"/>
  <c r="Q34" i="21"/>
  <c r="R10" i="21"/>
  <c r="E66" i="20"/>
  <c r="C82" i="22"/>
  <c r="E76" i="22"/>
  <c r="F66" i="20" l="1"/>
  <c r="H64" i="20"/>
  <c r="H66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Q61" i="21"/>
  <c r="E82" i="22"/>
  <c r="K66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E126" i="22" l="1"/>
  <c r="C133" i="22"/>
  <c r="C140" i="22" l="1"/>
  <c r="E133" i="22"/>
  <c r="E140" i="22" l="1"/>
  <c r="C147" i="22"/>
  <c r="E14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H16" authorId="0" shapeId="0" xr:uid="{E98EA83C-FA5A-48B6-899C-E5E336EBC41F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increase</t>
        </r>
      </text>
    </comment>
    <comment ref="H19" authorId="0" shapeId="0" xr:uid="{5D977F48-0EAA-46E8-82C1-60CDAFE663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3.5% increase per JT: $298,494; increase eliminated per 6-7</t>
        </r>
      </text>
    </comment>
    <comment ref="D35" authorId="0" shapeId="0" xr:uid="{FA6AD063-326E-484D-8082-CE134179403C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WPLC budget passed 6-15-2020</t>
        </r>
      </text>
    </comment>
    <comment ref="H35" authorId="0" shapeId="0" xr:uid="{CFA9DEB8-1AB0-480A-BE31-25680CE02B62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  <comment ref="C130" authorId="0" shapeId="0" xr:uid="{FC5AFCED-E436-41DC-8181-9EFE01380A95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$13,500 Fairchild
$27,000 Durand
-  1,000 Est Fairchild 1/2 Year Maint (re start 7/1)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4" authorId="0" shapeId="0" xr:uid="{887D44E7-C4A7-464D-BD1D-45DC5862A8E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Switched from Express Lane to SIP2 in Feb. 2022. Paying for 1 license, 2nd SIP2 license was part of 2021 year-end III BOGO deal when adding a license for CF.</t>
        </r>
      </text>
    </comment>
    <comment ref="C77" authorId="0" shapeId="0" xr:uid="{0B721590-B566-4688-BEC3-2C7D07774498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CF added a 2nd self-check in November 2021. Charge for maintenance on 2 licenses beginning with 2023 budget</t>
        </r>
      </text>
    </comment>
    <comment ref="C7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switching from 6 to 7 SIP2 licenses beginning 2023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M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  <comment ref="B26" authorId="1" shapeId="0" xr:uid="{5590DCE8-8C6C-4F25-9C78-3470CD0F719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"2021" counts are actually May 2020 item counts and 2019 circ.</t>
        </r>
      </text>
    </comment>
    <comment ref="B29" authorId="1" shapeId="0" xr:uid="{B8C1B241-174A-429B-978C-16AF0C14BB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2021 figures from library's annual report</t>
        </r>
      </text>
    </comment>
  </commentList>
</comments>
</file>

<file path=xl/sharedStrings.xml><?xml version="1.0" encoding="utf-8"?>
<sst xmlns="http://schemas.openxmlformats.org/spreadsheetml/2006/main" count="524" uniqueCount="411">
  <si>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</si>
  <si>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</si>
  <si>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</si>
  <si>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</si>
  <si>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</si>
  <si>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</si>
  <si>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</si>
  <si>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</si>
  <si>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</si>
  <si>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</si>
  <si>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</si>
  <si>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</si>
  <si>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</si>
  <si>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</si>
  <si>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</si>
  <si>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</si>
  <si>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</si>
  <si>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</si>
  <si>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</si>
  <si>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</si>
  <si>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</si>
  <si>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</si>
  <si>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</si>
  <si>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</si>
  <si>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</si>
  <si>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</si>
  <si>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</si>
  <si>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</si>
  <si>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</si>
  <si>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</si>
  <si>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</si>
  <si>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</si>
  <si>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</si>
  <si>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</si>
  <si>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</si>
  <si>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</si>
  <si>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</si>
  <si>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</si>
  <si>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</si>
  <si>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</si>
  <si>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</si>
  <si>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</si>
  <si>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</si>
  <si>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</si>
  <si>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</si>
  <si>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</si>
  <si>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</si>
  <si>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</si>
  <si>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</si>
  <si>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</si>
  <si>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</si>
  <si>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</si>
  <si>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</si>
  <si>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</si>
  <si>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</si>
  <si>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</si>
  <si>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</si>
  <si>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</si>
  <si>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</si>
  <si>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</si>
  <si>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</si>
  <si>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</si>
  <si>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</si>
  <si>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</si>
  <si>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</si>
  <si>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</si>
  <si>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</si>
  <si>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</si>
  <si>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</si>
  <si>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</si>
  <si>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</si>
  <si>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</si>
  <si>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</si>
  <si>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</si>
  <si>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</si>
  <si>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</si>
  <si>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</si>
  <si>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</si>
  <si>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</si>
  <si>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</si>
  <si>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</si>
  <si>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</si>
  <si>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</si>
  <si>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</si>
  <si>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</si>
  <si>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</si>
  <si>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</si>
  <si>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</si>
  <si>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</si>
  <si>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</si>
  <si>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</si>
  <si>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</si>
  <si>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</si>
  <si>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</si>
  <si>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</si>
  <si>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</si>
  <si>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</si>
  <si>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</si>
  <si>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</si>
  <si>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</si>
  <si>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</si>
  <si>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</si>
  <si>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</si>
  <si>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</si>
  <si>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</si>
  <si>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</si>
  <si>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</si>
  <si>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</si>
  <si>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</si>
  <si>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</si>
  <si>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</si>
  <si>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</si>
  <si>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</si>
  <si>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</si>
  <si>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</si>
  <si>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</si>
  <si>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</si>
  <si>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</si>
  <si>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</si>
  <si>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</si>
  <si>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</si>
  <si>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</si>
  <si>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</si>
  <si>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</si>
  <si>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</si>
  <si>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</si>
  <si>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</si>
  <si>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</si>
  <si>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</si>
  <si>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</si>
  <si>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</si>
  <si>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</si>
  <si>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</si>
  <si>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</si>
  <si>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</si>
  <si>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</si>
  <si>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</si>
  <si>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</si>
  <si>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</si>
  <si>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</si>
  <si>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</si>
  <si>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</si>
  <si>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</si>
  <si>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</si>
  <si>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</si>
  <si>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</si>
  <si>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</si>
  <si>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</si>
  <si>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</si>
  <si>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</si>
  <si>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</si>
  <si>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</si>
  <si>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</si>
  <si>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</si>
  <si>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</si>
  <si>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</si>
  <si>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</si>
  <si>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</si>
  <si>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</si>
  <si>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</si>
  <si>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</si>
  <si>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</si>
  <si>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</si>
  <si>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</si>
  <si>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</si>
  <si>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</si>
  <si>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</si>
  <si>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</si>
  <si>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</si>
  <si>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</si>
  <si>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</si>
  <si>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</si>
  <si>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</si>
  <si>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</si>
  <si>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</si>
  <si>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</si>
  <si>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</si>
  <si>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</si>
  <si>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</si>
  <si>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</si>
  <si>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</si>
  <si>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</si>
  <si>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</si>
  <si>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</si>
  <si>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</si>
  <si>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</si>
  <si>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</si>
  <si>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>Circ &amp; Items as a % of Total</t>
  </si>
  <si>
    <t>LIBRARY</t>
  </si>
  <si>
    <t>items per total</t>
  </si>
  <si>
    <t>circ per total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</si>
  <si>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</si>
  <si>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</si>
  <si>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</si>
  <si>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</si>
  <si>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</si>
  <si>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</si>
  <si>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</si>
  <si>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</si>
  <si>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</si>
  <si>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</si>
  <si>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</si>
  <si>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</si>
  <si>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</si>
  <si>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</si>
  <si>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</si>
  <si>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</si>
  <si>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</si>
  <si>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</si>
  <si>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</si>
  <si>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</si>
  <si>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</si>
  <si>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</si>
  <si>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</si>
  <si>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</si>
  <si>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</si>
  <si>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</si>
  <si>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</si>
  <si>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</si>
  <si>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</si>
  <si>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</si>
  <si>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</si>
  <si>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</si>
  <si>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</si>
  <si>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</si>
  <si>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</si>
  <si>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</si>
  <si>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</si>
  <si>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</si>
  <si>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</si>
  <si>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</si>
  <si>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</si>
  <si>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</si>
  <si>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</si>
  <si>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</si>
  <si>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</si>
  <si>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</si>
  <si>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</si>
  <si>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</si>
  <si>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</si>
  <si>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</si>
  <si>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</si>
  <si>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</si>
  <si>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</si>
  <si>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</si>
  <si>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</si>
  <si>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</si>
  <si>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</si>
  <si>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</si>
  <si>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</si>
  <si>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</si>
  <si>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</si>
  <si>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</si>
  <si>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</si>
  <si>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</si>
  <si>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</si>
  <si>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</si>
  <si>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</si>
  <si>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</si>
  <si>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</si>
  <si>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</si>
  <si>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</si>
  <si>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</si>
  <si>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</si>
  <si>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</si>
  <si>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</si>
  <si>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</si>
  <si>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</si>
  <si>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</si>
  <si>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</si>
  <si>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</si>
  <si>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</si>
  <si>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</si>
  <si>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</si>
  <si>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</si>
  <si>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</si>
  <si>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</si>
  <si>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</si>
  <si>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</si>
  <si>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</si>
  <si>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</si>
  <si>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</si>
  <si>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</si>
  <si>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</si>
  <si>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</si>
  <si>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</si>
  <si>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</si>
  <si>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</si>
  <si>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</si>
  <si>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</si>
  <si>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</si>
  <si>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</si>
  <si>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</si>
  <si>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</si>
  <si>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</si>
  <si>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</si>
  <si>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</si>
  <si>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</si>
  <si>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</si>
  <si>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</si>
  <si>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OCLC, Web Dewey, and RDA Toolkit</t>
  </si>
  <si>
    <t>Statewide OverDrive collection buying pool; some funds returned for system Advantage account</t>
  </si>
  <si>
    <t xml:space="preserve">Eau Claire </t>
  </si>
  <si>
    <t>Carryover @ 12/31/17</t>
  </si>
  <si>
    <t xml:space="preserve">   Less 2018 Add'l from Carryover (revised budget)</t>
  </si>
  <si>
    <t xml:space="preserve">   Reserves - Boopsie deferred to 2018</t>
  </si>
  <si>
    <t>Statistical and collection development tool</t>
  </si>
  <si>
    <t>Ongoing authority processing service</t>
  </si>
  <si>
    <t>Eau Claire, Chippewa, Menomonie, Ladysmith, Balsam Lake, others</t>
  </si>
  <si>
    <t>Electronic magazines</t>
  </si>
  <si>
    <t>Hosting Sierra and Encore servers</t>
  </si>
  <si>
    <t xml:space="preserve">   Less 2020 Add'l from Carryover (revised budget)</t>
  </si>
  <si>
    <t xml:space="preserve">   Adj to Close Books @ end of 2020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</si>
  <si>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</si>
  <si>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</si>
  <si>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</si>
  <si>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</si>
  <si>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Database quality control</t>
  </si>
  <si>
    <t>MORE Funds</t>
  </si>
  <si>
    <t>Including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</si>
  <si>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</si>
  <si>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</si>
  <si>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</si>
  <si>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</si>
  <si>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</si>
  <si>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>2022     General Maintenance</t>
  </si>
  <si>
    <t xml:space="preserve"> 2022 Total</t>
  </si>
  <si>
    <t xml:space="preserve">   Less 2021 Add'l from Carryover (revised budget)</t>
  </si>
  <si>
    <t xml:space="preserve">   Adj to Close Books @ end of 2021</t>
  </si>
  <si>
    <t xml:space="preserve">   Adj to Close Books @ end of 2019</t>
  </si>
  <si>
    <t xml:space="preserve">   Less 2019 Add'l from Carryover (revised budget)</t>
  </si>
  <si>
    <t xml:space="preserve">   Less $ Committed to 2022 Projects from Carryover</t>
  </si>
  <si>
    <t xml:space="preserve">   Less $ Committed to 2021 Projects from Carryover</t>
  </si>
  <si>
    <t xml:space="preserve">   Less $ Committed to 2020 Projects from Carryover</t>
  </si>
  <si>
    <t>Actual Carryover @ 12/31/19</t>
  </si>
  <si>
    <t>Actual Carryover @ 12/31/18</t>
  </si>
  <si>
    <t>New</t>
  </si>
  <si>
    <t>Fairchild</t>
  </si>
  <si>
    <t>2019 Total items+circ</t>
  </si>
  <si>
    <t>% Chg</t>
  </si>
  <si>
    <t>Fairchild  * 7/1/2021</t>
  </si>
  <si>
    <t>2020 Total items+circ</t>
  </si>
  <si>
    <t>3 yr Avg items+circ</t>
  </si>
  <si>
    <t>3 yr Avg % of Total</t>
  </si>
  <si>
    <t xml:space="preserve"> (not to exceed 1/2 of Total costs)</t>
  </si>
  <si>
    <t xml:space="preserve">   no change</t>
  </si>
  <si>
    <t>iTIVA from illion (formerly Talking Tech)</t>
  </si>
  <si>
    <t>Telephone notification and renewal service, annual fee</t>
  </si>
  <si>
    <t>To purchase high-demand materials in any format; recommended by MORE RSCD Committee</t>
  </si>
  <si>
    <t>Approved by MORE Directors Council, May 2021</t>
  </si>
  <si>
    <t>Primarily annual Innovative Users Group Conference; recommended by Executive Committee based on lower conference attendance costs for 2022 IUG Conference</t>
  </si>
  <si>
    <t>BiblioTheca</t>
  </si>
  <si>
    <t>Envisionware</t>
  </si>
  <si>
    <t>Express Lane</t>
  </si>
  <si>
    <t>None</t>
  </si>
  <si>
    <t>2023 Preliminary Budget</t>
  </si>
  <si>
    <t>7/2021 Approved</t>
  </si>
  <si>
    <t>2022 Budget</t>
  </si>
  <si>
    <t>Preliminary</t>
  </si>
  <si>
    <t>2022 +/-</t>
  </si>
  <si>
    <t>Automation software support; 4% increase based on 3-year Sierra maintainenance agreement (2022-2024)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</si>
  <si>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  <r>
      <rPr>
        <sz val="11"/>
        <rFont val="Arial"/>
        <family val="2"/>
      </rPr>
      <t>. 2023 cost reflects year 3 pricing</t>
    </r>
  </si>
  <si>
    <t>IFLS OverDrive Advantage program</t>
  </si>
  <si>
    <t>Flipster is current product</t>
  </si>
  <si>
    <t>2023 MORE Costs to Library Participants</t>
  </si>
  <si>
    <t>Based on 2023 Approved Budget</t>
  </si>
  <si>
    <t>CVTC   (original: 1/1/2000; withdrawal: 1/1/2006) 7/1/2022</t>
  </si>
  <si>
    <t>2023         Total         Cost to Library</t>
  </si>
  <si>
    <t>2023  Contents/ Materials</t>
  </si>
  <si>
    <t>Durand   * 1/1/2022</t>
  </si>
  <si>
    <t>(4% inc)</t>
  </si>
  <si>
    <t xml:space="preserve">  Self-check @ $372/</t>
  </si>
  <si>
    <t>MORE 2023 Cost Allocations using 3 year Average for Items &amp; Circ</t>
  </si>
  <si>
    <t>Preliminary Budget</t>
  </si>
  <si>
    <t>2015-   2023</t>
  </si>
  <si>
    <t>2021          items</t>
  </si>
  <si>
    <t>2021            circ</t>
  </si>
  <si>
    <t>2021 Total items+circ</t>
  </si>
  <si>
    <t>CVTC</t>
  </si>
  <si>
    <t>Durand</t>
  </si>
  <si>
    <t xml:space="preserve">2022 Costs </t>
  </si>
  <si>
    <t>adjust re M61</t>
  </si>
  <si>
    <t>Reserve @ '23 = $24,000</t>
  </si>
  <si>
    <t>Reserve @ '23 = $175,000</t>
  </si>
  <si>
    <t>Reserve @ '23 = $25,000</t>
  </si>
  <si>
    <t xml:space="preserve">   Less $ Committed to 2023 Projects from Carryover</t>
  </si>
  <si>
    <t>Est Carryover @ 12/31/2022</t>
  </si>
  <si>
    <t xml:space="preserve">   Adj to Close Books @ end of 2022</t>
  </si>
  <si>
    <t xml:space="preserve">  Plus Fairchild, Durand, CVTC Startup (less 1/2 yr Maint)</t>
  </si>
  <si>
    <t xml:space="preserve">   Less 2022 Add'l from Carryover (revised budget)</t>
  </si>
  <si>
    <t xml:space="preserve">  Plus </t>
  </si>
  <si>
    <t xml:space="preserve">   Less $ Committed to 2019 Projects from Carryover</t>
  </si>
  <si>
    <t xml:space="preserve">   Less 2023 Add'l from Carryover (revised budget)</t>
  </si>
  <si>
    <t xml:space="preserve">   Adj to Close Books @ end of 2023</t>
  </si>
  <si>
    <t>ACTUAL Carryover @ 12/31/20</t>
  </si>
  <si>
    <t>ACTUAL Carryover @ 12/31/2021</t>
  </si>
  <si>
    <t xml:space="preserve">2023 Total MORE Budget = </t>
  </si>
  <si>
    <t xml:space="preserve">Less 2023 IFLS Subsidy (off top) = </t>
  </si>
  <si>
    <t xml:space="preserve">2023 MORE Budget billable to Libs = </t>
  </si>
  <si>
    <t xml:space="preserve">Add'l 2023 IFLS Subsidy = Am't per Lib (Half Min) </t>
  </si>
  <si>
    <t xml:space="preserve">Add'l 2023 IFLS Subsidy for Cataloging Partners =  </t>
  </si>
  <si>
    <t xml:space="preserve">2023 Approved Costs </t>
  </si>
  <si>
    <t xml:space="preserve">  2023 Approved Budget:  =</t>
  </si>
  <si>
    <t>Est Carryover @ 12/31/2023</t>
  </si>
  <si>
    <t>Total =</t>
  </si>
  <si>
    <t>Reserves  =</t>
  </si>
  <si>
    <t xml:space="preserve">  4.2% increase</t>
  </si>
  <si>
    <t>-</t>
  </si>
  <si>
    <t>Based on IFLS's state aid; includes some IFLS personnel, CABS (Cataloging and Bibliographic Services): centralized bibliographic services, committee meetings, training travel/meetings, and telephone expenses</t>
  </si>
  <si>
    <t>2021-2022: CABS (Cataloging and Bibliographic Services): centralized bibliographic services; 2023: moved to IFLS Management Charges</t>
  </si>
  <si>
    <t>Envisionware, AMH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</si>
</sst>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40" applyNumberFormat="0" applyAlignment="0" applyProtection="0"/>
    <xf numFmtId="0" fontId="27" fillId="14" borderId="41" applyNumberFormat="0" applyAlignment="0" applyProtection="0"/>
    <xf numFmtId="0" fontId="28" fillId="14" borderId="40" applyNumberFormat="0" applyAlignment="0" applyProtection="0"/>
    <xf numFmtId="0" fontId="29" fillId="0" borderId="42" applyNumberFormat="0" applyFill="0" applyAlignment="0" applyProtection="0"/>
    <xf numFmtId="0" fontId="30" fillId="15" borderId="4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</cellStyleXfs>
  <cellXfs count="37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0" fillId="0" borderId="35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6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1" borderId="0" xfId="0" applyNumberFormat="1" applyFill="1"/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3" fontId="9" fillId="0" borderId="0" xfId="4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7" borderId="7" xfId="2" applyFont="1" applyFill="1" applyBorder="1" applyAlignment="1">
      <alignment horizontal="center" wrapText="1"/>
    </xf>
    <xf numFmtId="44" fontId="2" fillId="0" borderId="10" xfId="2" applyBorder="1" applyAlignment="1">
      <alignment wrapText="1"/>
    </xf>
    <xf numFmtId="44" fontId="2" fillId="0" borderId="11" xfId="2" applyBorder="1" applyAlignment="1">
      <alignment wrapText="1"/>
    </xf>
    <xf numFmtId="44" fontId="2" fillId="9" borderId="7" xfId="2" applyFill="1" applyBorder="1" applyAlignment="1">
      <alignment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9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170" fontId="0" fillId="0" borderId="19" xfId="2" applyNumberFormat="1" applyFont="1" applyBorder="1" applyAlignment="1">
      <alignment wrapText="1"/>
    </xf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Fill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Fill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44" fontId="0" fillId="41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0" fontId="4" fillId="0" borderId="0" xfId="4" applyFont="1"/>
    <xf numFmtId="164" fontId="10" fillId="42" borderId="7" xfId="4" applyNumberFormat="1" applyFont="1" applyFill="1" applyBorder="1"/>
    <xf numFmtId="167" fontId="4" fillId="42" borderId="0" xfId="1" applyNumberFormat="1" applyFont="1" applyFill="1" applyBorder="1"/>
    <xf numFmtId="167" fontId="9" fillId="0" borderId="0" xfId="4" applyNumberFormat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2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5" xfId="1" applyNumberFormat="1" applyFont="1" applyBorder="1"/>
    <xf numFmtId="0" fontId="9" fillId="0" borderId="28" xfId="3" applyBorder="1"/>
    <xf numFmtId="0" fontId="9" fillId="0" borderId="35" xfId="3" applyBorder="1"/>
    <xf numFmtId="164" fontId="10" fillId="0" borderId="0" xfId="4" applyNumberFormat="1" applyFont="1" applyFill="1" applyBorder="1"/>
    <xf numFmtId="44" fontId="0" fillId="0" borderId="0" xfId="0" applyNumberFormat="1" applyFill="1"/>
    <xf numFmtId="43" fontId="3" fillId="9" borderId="15" xfId="0" applyNumberFormat="1" applyFont="1" applyFill="1" applyBorder="1"/>
    <xf numFmtId="43" fontId="3" fillId="43" borderId="15" xfId="0" applyNumberFormat="1" applyFont="1" applyFill="1" applyBorder="1"/>
    <xf numFmtId="43" fontId="3" fillId="44" borderId="15" xfId="0" applyNumberFormat="1" applyFont="1" applyFill="1" applyBorder="1"/>
    <xf numFmtId="43" fontId="3" fillId="45" borderId="15" xfId="0" applyNumberFormat="1" applyFont="1" applyFill="1" applyBorder="1"/>
    <xf numFmtId="43" fontId="3" fillId="46" borderId="15" xfId="0" applyNumberFormat="1" applyFont="1" applyFill="1" applyBorder="1"/>
    <xf numFmtId="43" fontId="3" fillId="47" borderId="15" xfId="0" applyNumberFormat="1" applyFont="1" applyFill="1" applyBorder="1"/>
    <xf numFmtId="43" fontId="3" fillId="48" borderId="15" xfId="0" applyNumberFormat="1" applyFont="1" applyFill="1" applyBorder="1"/>
    <xf numFmtId="0" fontId="0" fillId="41" borderId="0" xfId="0" applyFill="1"/>
    <xf numFmtId="0" fontId="4" fillId="0" borderId="0" xfId="4" applyFont="1" applyFill="1" applyAlignment="1">
      <alignment horizontal="center"/>
    </xf>
    <xf numFmtId="167" fontId="9" fillId="0" borderId="0" xfId="1" applyNumberFormat="1" applyFont="1" applyFill="1"/>
    <xf numFmtId="10" fontId="9" fillId="0" borderId="0" xfId="5" applyNumberFormat="1" applyFont="1" applyFill="1"/>
    <xf numFmtId="167" fontId="9" fillId="0" borderId="5" xfId="4" applyNumberFormat="1" applyFill="1" applyBorder="1"/>
    <xf numFmtId="10" fontId="3" fillId="0" borderId="0" xfId="5" applyNumberFormat="1" applyFont="1"/>
    <xf numFmtId="0" fontId="10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167" fontId="4" fillId="0" borderId="5" xfId="1" applyNumberFormat="1" applyFont="1" applyFill="1" applyBorder="1"/>
    <xf numFmtId="167" fontId="4" fillId="8" borderId="5" xfId="1" applyNumberFormat="1" applyFont="1" applyFill="1" applyBorder="1"/>
    <xf numFmtId="167" fontId="9" fillId="2" borderId="5" xfId="4" applyNumberFormat="1" applyFill="1" applyBorder="1"/>
    <xf numFmtId="169" fontId="4" fillId="0" borderId="6" xfId="5" applyNumberFormat="1" applyFont="1" applyFill="1" applyBorder="1"/>
    <xf numFmtId="0" fontId="2" fillId="0" borderId="0" xfId="0" applyFont="1" applyFill="1" applyBorder="1"/>
    <xf numFmtId="167" fontId="4" fillId="0" borderId="33" xfId="1" applyNumberFormat="1" applyFont="1" applyFill="1" applyBorder="1" applyAlignment="1">
      <alignment wrapText="1"/>
    </xf>
    <xf numFmtId="0" fontId="10" fillId="0" borderId="17" xfId="4" applyFont="1" applyFill="1" applyBorder="1" applyAlignment="1">
      <alignment horizontal="center" wrapText="1"/>
    </xf>
    <xf numFmtId="167" fontId="4" fillId="49" borderId="0" xfId="1" applyNumberFormat="1" applyFont="1" applyFill="1"/>
    <xf numFmtId="167" fontId="9" fillId="49" borderId="0" xfId="1" applyNumberFormat="1" applyFont="1" applyFill="1"/>
    <xf numFmtId="167" fontId="4" fillId="50" borderId="0" xfId="1" applyNumberFormat="1" applyFont="1" applyFill="1"/>
    <xf numFmtId="167" fontId="10" fillId="0" borderId="17" xfId="1" applyNumberFormat="1" applyFont="1" applyFill="1" applyBorder="1" applyAlignment="1">
      <alignment horizontal="center" wrapText="1"/>
    </xf>
    <xf numFmtId="0" fontId="10" fillId="0" borderId="0" xfId="4" applyFont="1" applyFill="1" applyAlignment="1">
      <alignment horizontal="center"/>
    </xf>
    <xf numFmtId="9" fontId="9" fillId="0" borderId="0" xfId="4" applyNumberFormat="1" applyFill="1" applyAlignment="1">
      <alignment horizontal="center"/>
    </xf>
    <xf numFmtId="165" fontId="9" fillId="0" borderId="0" xfId="4" applyNumberFormat="1" applyFill="1"/>
    <xf numFmtId="0" fontId="10" fillId="0" borderId="17" xfId="4" applyFont="1" applyFill="1" applyBorder="1"/>
    <xf numFmtId="167" fontId="10" fillId="0" borderId="17" xfId="4" applyNumberFormat="1" applyFont="1" applyFill="1" applyBorder="1"/>
    <xf numFmtId="167" fontId="10" fillId="0" borderId="5" xfId="4" applyNumberFormat="1" applyFont="1" applyFill="1" applyBorder="1"/>
    <xf numFmtId="0" fontId="9" fillId="0" borderId="0" xfId="4" applyFill="1" applyAlignment="1">
      <alignment horizontal="right"/>
    </xf>
    <xf numFmtId="0" fontId="9" fillId="4" borderId="46" xfId="3" applyFill="1" applyBorder="1"/>
    <xf numFmtId="167" fontId="4" fillId="4" borderId="15" xfId="1" applyNumberFormat="1" applyFont="1" applyFill="1" applyBorder="1"/>
    <xf numFmtId="3" fontId="9" fillId="49" borderId="0" xfId="4" applyNumberFormat="1" applyFill="1"/>
    <xf numFmtId="167" fontId="9" fillId="0" borderId="0" xfId="1" applyNumberFormat="1" applyFont="1"/>
    <xf numFmtId="43" fontId="3" fillId="52" borderId="15" xfId="0" applyNumberFormat="1" applyFont="1" applyFill="1" applyBorder="1"/>
    <xf numFmtId="0" fontId="8" fillId="51" borderId="0" xfId="4" applyFont="1" applyFill="1" applyAlignment="1">
      <alignment horizontal="center"/>
    </xf>
    <xf numFmtId="3" fontId="38" fillId="0" borderId="0" xfId="0" applyNumberFormat="1" applyFont="1" applyFill="1" applyBorder="1" applyAlignment="1" applyProtection="1">
      <alignment horizontal="right"/>
    </xf>
    <xf numFmtId="164" fontId="10" fillId="41" borderId="0" xfId="4" applyNumberFormat="1" applyFont="1" applyFill="1" applyBorder="1"/>
    <xf numFmtId="44" fontId="2" fillId="0" borderId="47" xfId="2" applyFont="1" applyFill="1" applyBorder="1" applyAlignment="1">
      <alignment horizontal="right"/>
    </xf>
    <xf numFmtId="44" fontId="2" fillId="0" borderId="7" xfId="2" applyFont="1" applyFill="1" applyBorder="1" applyAlignment="1">
      <alignment horizontal="right" wrapText="1"/>
    </xf>
    <xf numFmtId="44" fontId="2" fillId="0" borderId="7" xfId="2" applyFill="1" applyBorder="1" applyAlignment="1">
      <alignment wrapText="1"/>
    </xf>
    <xf numFmtId="44" fontId="2" fillId="9" borderId="7" xfId="2" applyFill="1" applyBorder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41" borderId="0" xfId="4" applyFont="1" applyFill="1"/>
    <xf numFmtId="167" fontId="9" fillId="0" borderId="28" xfId="3" applyNumberFormat="1" applyFill="1" applyBorder="1"/>
    <xf numFmtId="167" fontId="0" fillId="0" borderId="28" xfId="1" applyNumberFormat="1" applyFont="1" applyFill="1" applyBorder="1"/>
    <xf numFmtId="167" fontId="4" fillId="0" borderId="0" xfId="4" applyNumberFormat="1" applyFont="1" applyFill="1" applyBorder="1" applyAlignment="1">
      <alignment horizontal="right"/>
    </xf>
    <xf numFmtId="169" fontId="4" fillId="0" borderId="27" xfId="5" applyNumberFormat="1" applyFont="1" applyFill="1" applyBorder="1" applyAlignment="1">
      <alignment horizontal="right"/>
    </xf>
    <xf numFmtId="10" fontId="4" fillId="50" borderId="0" xfId="5" applyNumberFormat="1" applyFont="1" applyFill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J77"/>
  <sheetViews>
    <sheetView tabSelected="1" showRuler="0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43" customWidth="1"/>
    <col min="9" max="9" width="33.375" customWidth="1"/>
    <col min="10" max="10" width="9.375" bestFit="1" customWidth="1"/>
  </cols>
  <sheetData>
    <row r="1" spans="1:9" ht="15">
      <c r="B1" s="1" t="s">
        <v>0</v>
      </c>
    </row>
    <row r="2" spans="1:9" ht="15">
      <c r="B2" s="236" t="s">
        <v>355</v>
      </c>
    </row>
    <row r="3" spans="1:9" ht="15">
      <c r="B3" s="7">
        <v>44691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356</v>
      </c>
      <c r="E5" s="9" t="s">
        <v>359</v>
      </c>
      <c r="F5" s="9" t="s">
        <v>2</v>
      </c>
      <c r="G5" s="13"/>
      <c r="H5" s="244" t="s">
        <v>358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357</v>
      </c>
      <c r="E6" s="10" t="s">
        <v>5</v>
      </c>
      <c r="F6" s="10" t="s">
        <v>357</v>
      </c>
      <c r="G6" s="14"/>
      <c r="H6" s="245">
        <v>2023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46"/>
      <c r="I8" s="258"/>
    </row>
    <row r="9" spans="1:9" ht="57.75">
      <c r="A9" s="15">
        <v>1</v>
      </c>
      <c r="B9" s="144" t="s">
        <v>7</v>
      </c>
      <c r="C9" s="11"/>
      <c r="D9" s="246">
        <v>144734</v>
      </c>
      <c r="E9" s="132"/>
      <c r="F9" s="246"/>
      <c r="G9" s="210"/>
      <c r="H9" s="246">
        <v>150524</v>
      </c>
      <c r="I9" s="126" t="s">
        <v>360</v>
      </c>
    </row>
    <row r="10" spans="1:9" ht="24.75" customHeight="1">
      <c r="A10" s="238">
        <v>2</v>
      </c>
      <c r="B10" s="239" t="s">
        <v>268</v>
      </c>
      <c r="C10" s="11"/>
      <c r="D10" s="246">
        <v>350</v>
      </c>
      <c r="E10" s="8"/>
      <c r="F10" s="246"/>
      <c r="G10" s="210"/>
      <c r="H10" s="246">
        <v>350</v>
      </c>
      <c r="I10" s="260" t="s">
        <v>279</v>
      </c>
    </row>
    <row r="11" spans="1:9" ht="15">
      <c r="A11" s="238">
        <v>3</v>
      </c>
      <c r="B11" s="144" t="s">
        <v>8</v>
      </c>
      <c r="C11" s="155"/>
      <c r="D11" s="155"/>
      <c r="E11" s="155"/>
      <c r="F11" s="155"/>
      <c r="G11" s="213"/>
      <c r="H11" s="261"/>
      <c r="I11" s="261"/>
    </row>
    <row r="12" spans="1:9" s="235" customFormat="1">
      <c r="A12" s="238">
        <v>4</v>
      </c>
      <c r="B12" s="135" t="s">
        <v>265</v>
      </c>
      <c r="C12" s="210"/>
      <c r="D12" s="153">
        <v>8000</v>
      </c>
      <c r="E12" s="209"/>
      <c r="F12" s="274"/>
      <c r="G12" s="210"/>
      <c r="H12" s="246">
        <v>8000</v>
      </c>
      <c r="I12" s="260" t="s">
        <v>307</v>
      </c>
    </row>
    <row r="13" spans="1:9" ht="24.75" customHeight="1">
      <c r="A13" s="238">
        <v>5</v>
      </c>
      <c r="B13" s="239" t="s">
        <v>269</v>
      </c>
      <c r="C13" s="11"/>
      <c r="D13" s="153">
        <v>3000</v>
      </c>
      <c r="E13" s="8"/>
      <c r="F13" s="274"/>
      <c r="G13" s="210"/>
      <c r="H13" s="246">
        <v>3000</v>
      </c>
      <c r="I13" s="260" t="s">
        <v>287</v>
      </c>
    </row>
    <row r="14" spans="1:9" ht="24.75" customHeight="1">
      <c r="A14" s="238">
        <v>6</v>
      </c>
      <c r="B14" s="239" t="s">
        <v>270</v>
      </c>
      <c r="C14" s="11"/>
      <c r="D14" s="153">
        <v>6700</v>
      </c>
      <c r="E14" s="8"/>
      <c r="F14" s="274"/>
      <c r="G14" s="210"/>
      <c r="H14" s="246">
        <v>7500</v>
      </c>
      <c r="I14" s="260" t="s">
        <v>282</v>
      </c>
    </row>
    <row r="15" spans="1:9" s="235" customFormat="1" ht="61.5" customHeight="1">
      <c r="A15" s="238">
        <v>7</v>
      </c>
      <c r="B15" s="285" t="s">
        <v>315</v>
      </c>
      <c r="C15" s="210"/>
      <c r="D15" s="153">
        <v>46096</v>
      </c>
      <c r="E15" s="209"/>
      <c r="F15" s="274"/>
      <c r="G15" s="210"/>
      <c r="H15" s="246">
        <v>49937</v>
      </c>
      <c r="I15" s="289" t="s">
        <v>361</v>
      </c>
    </row>
    <row r="16" spans="1:9" s="235" customFormat="1" ht="28.5">
      <c r="A16" s="238">
        <v>8</v>
      </c>
      <c r="B16" s="237" t="s">
        <v>271</v>
      </c>
      <c r="C16" s="210"/>
      <c r="D16" s="153">
        <v>33438</v>
      </c>
      <c r="E16" s="209"/>
      <c r="F16" s="274"/>
      <c r="G16" s="210"/>
      <c r="H16" s="246">
        <v>35110</v>
      </c>
      <c r="I16" s="126" t="s">
        <v>306</v>
      </c>
    </row>
    <row r="17" spans="1:9" s="235" customFormat="1">
      <c r="A17" s="238">
        <v>9</v>
      </c>
      <c r="B17" s="237" t="s">
        <v>288</v>
      </c>
      <c r="C17" s="210"/>
      <c r="D17" s="246">
        <v>3387</v>
      </c>
      <c r="E17" s="209"/>
      <c r="F17" s="274"/>
      <c r="G17" s="210"/>
      <c r="H17" s="246">
        <v>3523</v>
      </c>
      <c r="I17" s="259" t="s">
        <v>284</v>
      </c>
    </row>
    <row r="18" spans="1:9" s="235" customFormat="1" ht="28.5">
      <c r="A18" s="238">
        <v>10</v>
      </c>
      <c r="B18" s="285" t="s">
        <v>346</v>
      </c>
      <c r="C18" s="210"/>
      <c r="D18" s="246">
        <v>11125</v>
      </c>
      <c r="E18" s="213"/>
      <c r="F18" s="274"/>
      <c r="G18" s="210"/>
      <c r="H18" s="246">
        <v>11681</v>
      </c>
      <c r="I18" s="126" t="s">
        <v>347</v>
      </c>
    </row>
    <row r="19" spans="1:9" s="235" customFormat="1" ht="28.5">
      <c r="A19" s="238">
        <v>11</v>
      </c>
      <c r="B19" s="239" t="s">
        <v>316</v>
      </c>
      <c r="C19" s="210"/>
      <c r="D19" s="274">
        <v>11524</v>
      </c>
      <c r="E19" s="209"/>
      <c r="F19" s="274"/>
      <c r="G19" s="210"/>
      <c r="H19" s="246">
        <v>12485</v>
      </c>
      <c r="I19" s="126" t="s">
        <v>349</v>
      </c>
    </row>
    <row r="20" spans="1:9" s="235" customFormat="1" ht="57">
      <c r="A20" s="238">
        <v>12</v>
      </c>
      <c r="B20" s="239" t="s">
        <v>317</v>
      </c>
      <c r="C20" s="210"/>
      <c r="D20" s="246">
        <v>142000</v>
      </c>
      <c r="E20" s="209"/>
      <c r="F20" s="274"/>
      <c r="G20" s="210"/>
      <c r="H20" s="246" t="s">
        <v>407</v>
      </c>
      <c r="I20" s="126" t="s">
        <v>409</v>
      </c>
    </row>
    <row r="21" spans="1:9" s="235" customFormat="1">
      <c r="A21" s="238">
        <v>13</v>
      </c>
      <c r="B21" s="239" t="s">
        <v>272</v>
      </c>
      <c r="C21" s="210"/>
      <c r="D21" s="274"/>
      <c r="E21" s="209"/>
      <c r="F21" s="274"/>
      <c r="G21" s="210"/>
      <c r="H21" s="246"/>
      <c r="I21" s="262"/>
    </row>
    <row r="22" spans="1:9" s="235" customFormat="1">
      <c r="A22" s="238">
        <v>14</v>
      </c>
      <c r="B22" s="239" t="s">
        <v>273</v>
      </c>
      <c r="C22" s="210"/>
      <c r="D22" s="274"/>
      <c r="E22" s="213"/>
      <c r="F22" s="274"/>
      <c r="G22" s="210"/>
      <c r="H22" s="246">
        <v>0</v>
      </c>
      <c r="I22" s="262"/>
    </row>
    <row r="23" spans="1:9">
      <c r="A23" s="238">
        <v>15</v>
      </c>
      <c r="B23" s="239" t="s">
        <v>273</v>
      </c>
      <c r="C23" s="210"/>
      <c r="D23" s="274"/>
      <c r="E23" s="213"/>
      <c r="F23" s="274"/>
      <c r="G23" s="210"/>
      <c r="H23" s="246">
        <v>0</v>
      </c>
      <c r="I23" s="262"/>
    </row>
    <row r="24" spans="1:9" ht="24.75" customHeight="1">
      <c r="A24" s="238">
        <v>16</v>
      </c>
      <c r="B24" s="144" t="s">
        <v>9</v>
      </c>
      <c r="C24" s="155"/>
      <c r="D24" s="247"/>
      <c r="E24" s="155"/>
      <c r="F24" s="155"/>
      <c r="G24" s="213"/>
      <c r="H24" s="254"/>
      <c r="I24" s="261"/>
    </row>
    <row r="25" spans="1:9" ht="76.5">
      <c r="A25" s="238">
        <v>17</v>
      </c>
      <c r="B25" s="21" t="s">
        <v>274</v>
      </c>
      <c r="C25" s="11"/>
      <c r="D25" s="246">
        <v>290000</v>
      </c>
      <c r="E25" s="209"/>
      <c r="F25" s="274"/>
      <c r="G25" s="210"/>
      <c r="H25" s="351">
        <f>(290000*1.05)+142000</f>
        <v>446500</v>
      </c>
      <c r="I25" s="263" t="s">
        <v>408</v>
      </c>
    </row>
    <row r="26" spans="1:9" s="235" customFormat="1" ht="24.75" customHeight="1">
      <c r="A26" s="238">
        <v>18</v>
      </c>
      <c r="B26" s="21" t="s">
        <v>281</v>
      </c>
      <c r="C26" s="210"/>
      <c r="D26" s="153">
        <v>3500</v>
      </c>
      <c r="E26" s="209"/>
      <c r="F26" s="274"/>
      <c r="G26" s="210"/>
      <c r="H26" s="246">
        <v>3500</v>
      </c>
      <c r="I26" s="263" t="s">
        <v>310</v>
      </c>
    </row>
    <row r="27" spans="1:9" ht="24.75" customHeight="1">
      <c r="A27" s="238">
        <v>19</v>
      </c>
      <c r="B27" s="144" t="s">
        <v>10</v>
      </c>
      <c r="C27" s="155"/>
      <c r="D27" s="176"/>
      <c r="E27" s="155"/>
      <c r="F27" s="155"/>
      <c r="G27" s="213"/>
      <c r="H27" s="254"/>
      <c r="I27" s="261"/>
    </row>
    <row r="28" spans="1:9" ht="19.5" customHeight="1">
      <c r="A28" s="238">
        <v>20</v>
      </c>
      <c r="B28" s="21" t="s">
        <v>267</v>
      </c>
      <c r="C28" s="11"/>
      <c r="D28" s="153">
        <v>1000</v>
      </c>
      <c r="E28" s="213"/>
      <c r="F28" s="274"/>
      <c r="G28" s="210"/>
      <c r="H28" s="246">
        <v>1000</v>
      </c>
      <c r="I28" s="258" t="s">
        <v>275</v>
      </c>
    </row>
    <row r="29" spans="1:9" ht="51">
      <c r="A29" s="238">
        <v>21</v>
      </c>
      <c r="B29" s="21" t="s">
        <v>11</v>
      </c>
      <c r="C29" s="11"/>
      <c r="D29" s="153">
        <v>7000</v>
      </c>
      <c r="E29" s="209"/>
      <c r="F29" s="274"/>
      <c r="G29" s="210"/>
      <c r="H29" s="246">
        <v>7000</v>
      </c>
      <c r="I29" s="258" t="s">
        <v>350</v>
      </c>
    </row>
    <row r="30" spans="1:9" ht="24.75" customHeight="1">
      <c r="A30" s="238">
        <v>22</v>
      </c>
      <c r="B30" s="144" t="s">
        <v>12</v>
      </c>
      <c r="C30" s="155"/>
      <c r="D30" s="176"/>
      <c r="E30" s="155"/>
      <c r="F30" s="155"/>
      <c r="G30" s="213"/>
      <c r="H30" s="254"/>
      <c r="I30" s="261"/>
    </row>
    <row r="31" spans="1:9" ht="24.75" customHeight="1">
      <c r="A31" s="238">
        <v>23</v>
      </c>
      <c r="B31" s="21" t="s">
        <v>13</v>
      </c>
      <c r="C31" s="11"/>
      <c r="D31" s="153">
        <v>3000</v>
      </c>
      <c r="E31" s="213"/>
      <c r="F31" s="274"/>
      <c r="G31" s="210"/>
      <c r="H31" s="246">
        <v>3000</v>
      </c>
      <c r="I31" s="258" t="s">
        <v>276</v>
      </c>
    </row>
    <row r="32" spans="1:9" ht="24.75" customHeight="1">
      <c r="A32" s="238">
        <v>24</v>
      </c>
      <c r="B32" s="21" t="s">
        <v>14</v>
      </c>
      <c r="C32" s="11"/>
      <c r="D32" s="246">
        <v>40000</v>
      </c>
      <c r="E32" s="213"/>
      <c r="F32" s="274"/>
      <c r="G32" s="210"/>
      <c r="H32" s="246">
        <v>40000</v>
      </c>
      <c r="I32" s="258" t="s">
        <v>300</v>
      </c>
    </row>
    <row r="33" spans="1:10" ht="24.75" customHeight="1">
      <c r="A33" s="238">
        <v>25</v>
      </c>
      <c r="B33" s="22" t="s">
        <v>15</v>
      </c>
      <c r="C33" s="11"/>
      <c r="D33" s="153">
        <v>5000</v>
      </c>
      <c r="E33" s="209"/>
      <c r="F33" s="274"/>
      <c r="G33" s="210"/>
      <c r="H33" s="246">
        <v>5000</v>
      </c>
      <c r="I33" s="258"/>
    </row>
    <row r="34" spans="1:10" ht="24.75" customHeight="1">
      <c r="A34" s="238">
        <v>26</v>
      </c>
      <c r="B34" s="144" t="s">
        <v>16</v>
      </c>
      <c r="C34" s="155"/>
      <c r="D34" s="176"/>
      <c r="E34" s="155"/>
      <c r="F34" s="155"/>
      <c r="G34" s="213"/>
      <c r="H34" s="254"/>
      <c r="I34" s="261"/>
    </row>
    <row r="35" spans="1:10" ht="39">
      <c r="A35" s="238">
        <v>27</v>
      </c>
      <c r="B35" s="154" t="s">
        <v>17</v>
      </c>
      <c r="C35" s="11"/>
      <c r="D35" s="246">
        <v>131545</v>
      </c>
      <c r="E35" s="213"/>
      <c r="F35" s="274"/>
      <c r="G35" s="210"/>
      <c r="H35" s="246">
        <v>135000</v>
      </c>
      <c r="I35" s="258" t="s">
        <v>301</v>
      </c>
    </row>
    <row r="36" spans="1:10" ht="34.5" customHeight="1">
      <c r="A36" s="238">
        <v>28</v>
      </c>
      <c r="B36" s="22" t="s">
        <v>18</v>
      </c>
      <c r="C36" s="12"/>
      <c r="D36" s="153">
        <v>36000</v>
      </c>
      <c r="E36" s="213"/>
      <c r="F36" s="274"/>
      <c r="G36" s="210"/>
      <c r="H36" s="153">
        <v>36000</v>
      </c>
      <c r="I36" s="258" t="s">
        <v>362</v>
      </c>
    </row>
    <row r="37" spans="1:10" s="235" customFormat="1" ht="34.5" customHeight="1">
      <c r="A37" s="238">
        <v>29</v>
      </c>
      <c r="B37" s="22" t="s">
        <v>309</v>
      </c>
      <c r="C37" s="12"/>
      <c r="D37" s="153">
        <v>9000</v>
      </c>
      <c r="E37" s="213"/>
      <c r="F37" s="274"/>
      <c r="G37" s="210"/>
      <c r="H37" s="153">
        <v>9000</v>
      </c>
      <c r="I37" s="258" t="s">
        <v>363</v>
      </c>
    </row>
    <row r="38" spans="1:10" ht="15" customHeight="1">
      <c r="A38" s="238">
        <v>30</v>
      </c>
      <c r="B38" s="22" t="s">
        <v>254</v>
      </c>
      <c r="C38" s="12"/>
      <c r="D38" s="153">
        <v>12000</v>
      </c>
      <c r="E38" s="153"/>
      <c r="F38" s="274"/>
      <c r="G38" s="210"/>
      <c r="H38" s="153">
        <v>12000</v>
      </c>
      <c r="I38" s="258"/>
    </row>
    <row r="39" spans="1:10" ht="51" customHeight="1">
      <c r="A39" s="238">
        <v>31</v>
      </c>
      <c r="B39" s="22" t="s">
        <v>283</v>
      </c>
      <c r="C39" s="12"/>
      <c r="D39" s="153">
        <v>15000</v>
      </c>
      <c r="E39" s="214"/>
      <c r="F39" s="274"/>
      <c r="G39" s="210"/>
      <c r="H39" s="153">
        <v>15000</v>
      </c>
      <c r="I39" s="258" t="s">
        <v>348</v>
      </c>
    </row>
    <row r="40" spans="1:10" ht="24.75" customHeight="1">
      <c r="A40" s="238">
        <v>32</v>
      </c>
      <c r="B40" s="156" t="s">
        <v>19</v>
      </c>
      <c r="C40" s="12"/>
      <c r="D40" s="176">
        <f>SUM(D35:D39)</f>
        <v>203545</v>
      </c>
      <c r="E40" s="176"/>
      <c r="F40" s="176">
        <f>SUM(F35:F39)</f>
        <v>0</v>
      </c>
      <c r="G40" s="12"/>
      <c r="H40" s="254">
        <f>SUM(H35:H39)</f>
        <v>207000</v>
      </c>
      <c r="I40" s="261"/>
    </row>
    <row r="41" spans="1:10" ht="15">
      <c r="A41" s="238">
        <v>33</v>
      </c>
      <c r="B41" s="144" t="s">
        <v>20</v>
      </c>
      <c r="C41" s="155"/>
      <c r="D41" s="155"/>
      <c r="E41" s="155"/>
      <c r="F41" s="155"/>
      <c r="G41" s="155"/>
      <c r="H41" s="255"/>
      <c r="I41" s="261"/>
    </row>
    <row r="42" spans="1:10">
      <c r="A42" s="238">
        <v>34</v>
      </c>
      <c r="B42" s="22" t="s">
        <v>21</v>
      </c>
      <c r="C42" s="11"/>
      <c r="D42" s="213"/>
      <c r="E42" s="213"/>
      <c r="F42" s="209"/>
      <c r="G42" s="11"/>
      <c r="H42" s="270"/>
      <c r="I42" s="265" t="s">
        <v>382</v>
      </c>
    </row>
    <row r="43" spans="1:10">
      <c r="A43" s="238">
        <v>35</v>
      </c>
      <c r="B43" s="22" t="s">
        <v>22</v>
      </c>
      <c r="C43" s="11"/>
      <c r="D43" s="213"/>
      <c r="E43" s="209"/>
      <c r="F43" s="209"/>
      <c r="G43" s="11"/>
      <c r="H43" s="270"/>
      <c r="I43" s="265" t="s">
        <v>383</v>
      </c>
    </row>
    <row r="44" spans="1:10">
      <c r="A44" s="238">
        <v>36</v>
      </c>
      <c r="B44" s="22" t="s">
        <v>23</v>
      </c>
      <c r="C44" s="11"/>
      <c r="D44" s="213"/>
      <c r="E44" s="209"/>
      <c r="F44" s="209"/>
      <c r="G44" s="11"/>
      <c r="H44" s="270"/>
      <c r="I44" s="265" t="s">
        <v>384</v>
      </c>
    </row>
    <row r="45" spans="1:10">
      <c r="A45" s="238">
        <v>37</v>
      </c>
      <c r="B45" s="22" t="s">
        <v>24</v>
      </c>
      <c r="C45" s="11"/>
      <c r="D45" s="256">
        <v>60000</v>
      </c>
      <c r="E45" s="74"/>
      <c r="F45" s="74"/>
      <c r="G45" s="11"/>
      <c r="H45" s="256">
        <v>60000</v>
      </c>
      <c r="I45" s="266"/>
    </row>
    <row r="46" spans="1:10" ht="24.75" customHeight="1" thickBot="1">
      <c r="A46" s="238">
        <v>38</v>
      </c>
      <c r="B46" s="23"/>
      <c r="C46" s="18"/>
      <c r="D46" s="248"/>
      <c r="E46" s="17"/>
      <c r="F46" s="17"/>
      <c r="G46" s="18"/>
      <c r="H46" s="270"/>
      <c r="I46" s="267"/>
      <c r="J46" s="226" t="s">
        <v>339</v>
      </c>
    </row>
    <row r="47" spans="1:10" ht="22.5" customHeight="1" thickBot="1">
      <c r="A47" s="238">
        <v>39</v>
      </c>
      <c r="B47" s="80" t="s">
        <v>25</v>
      </c>
      <c r="C47" s="81"/>
      <c r="D47" s="273">
        <f>SUM(D9:D39)-D45</f>
        <v>903399</v>
      </c>
      <c r="E47" s="143">
        <f>SUM(E9:E39)-E45</f>
        <v>0</v>
      </c>
      <c r="F47" s="143">
        <f>SUM(F9:F39)-F45</f>
        <v>0</v>
      </c>
      <c r="G47" s="81"/>
      <c r="H47" s="276">
        <f>SUM(H9:H39)-H45</f>
        <v>935110</v>
      </c>
      <c r="I47" s="268" t="s">
        <v>26</v>
      </c>
      <c r="J47" s="317">
        <f>(H47-D47)/D47</f>
        <v>3.5101876358065484E-2</v>
      </c>
    </row>
    <row r="48" spans="1:10" ht="15" customHeight="1">
      <c r="A48" s="238">
        <v>40</v>
      </c>
      <c r="B48" s="26"/>
      <c r="C48" s="20"/>
      <c r="D48" s="249"/>
      <c r="E48" s="19"/>
      <c r="F48" s="19"/>
      <c r="G48" s="20"/>
      <c r="H48" s="270"/>
      <c r="I48" s="269"/>
    </row>
    <row r="49" spans="1:9" ht="24.75" customHeight="1">
      <c r="A49" s="238">
        <v>41</v>
      </c>
      <c r="B49" s="24" t="s">
        <v>266</v>
      </c>
      <c r="C49" s="11"/>
      <c r="D49" s="351"/>
      <c r="E49" s="8"/>
      <c r="F49" s="352">
        <v>224000</v>
      </c>
      <c r="G49" s="11"/>
      <c r="H49" s="250">
        <v>224000</v>
      </c>
      <c r="I49" s="264"/>
    </row>
    <row r="50" spans="1:9" ht="15.75" customHeight="1" thickBot="1">
      <c r="A50" s="238">
        <v>42</v>
      </c>
      <c r="B50" s="24"/>
      <c r="C50" s="11"/>
      <c r="D50" s="248"/>
      <c r="E50" s="8"/>
      <c r="F50" s="8"/>
      <c r="G50" s="11"/>
      <c r="H50" s="253"/>
      <c r="I50" s="8"/>
    </row>
    <row r="51" spans="1:9" ht="24.75" customHeight="1" thickBot="1">
      <c r="A51" s="238">
        <v>43</v>
      </c>
      <c r="B51" s="25" t="s">
        <v>27</v>
      </c>
      <c r="C51" s="120"/>
      <c r="D51" s="350"/>
      <c r="E51" s="349"/>
      <c r="F51" s="136">
        <f>Carryover!C140</f>
        <v>115901.26999999996</v>
      </c>
      <c r="G51" s="120"/>
      <c r="H51" s="275">
        <f>Carryover!C147</f>
        <v>55901.26999999996</v>
      </c>
      <c r="I51" s="126" t="s">
        <v>28</v>
      </c>
    </row>
    <row r="52" spans="1:9" ht="24.75" customHeight="1">
      <c r="A52" s="238"/>
      <c r="B52" s="21"/>
      <c r="C52" s="11"/>
      <c r="D52" s="19"/>
      <c r="E52" s="19"/>
      <c r="F52" s="19"/>
      <c r="G52" s="11"/>
      <c r="H52" s="257"/>
      <c r="I52" s="8"/>
    </row>
    <row r="53" spans="1:9" ht="6.75" customHeight="1"/>
    <row r="59" spans="1:9" ht="15">
      <c r="A59" s="1"/>
    </row>
    <row r="61" spans="1:9" ht="15">
      <c r="B61" s="1"/>
    </row>
    <row r="72" spans="2:2" ht="24.75" customHeight="1">
      <c r="B72" s="1"/>
    </row>
    <row r="73" spans="2:2" ht="29.25" customHeight="1"/>
    <row r="77" spans="2:2" ht="24" customHeight="1">
      <c r="B77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r:id="rId1"/>
  <headerFooter>
    <oddHeader>&amp;C&amp;K0000002023 Preliminary MORE Budget</oddHeader>
    <oddFooter>&amp;CPage &amp;P&amp;R2022 Approved MORE Budget.xlsx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F147"/>
  <sheetViews>
    <sheetView showRuler="0" topLeftCell="A4" zoomScale="83" zoomScaleNormal="83" workbookViewId="0">
      <selection activeCell="E133" sqref="E133"/>
    </sheetView>
  </sheetViews>
  <sheetFormatPr defaultColWidth="8.75" defaultRowHeight="14.25"/>
  <cols>
    <col min="1" max="1" width="5.125" customWidth="1"/>
    <col min="2" max="2" width="43.62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286"/>
    </row>
    <row r="4" spans="1:6" ht="15">
      <c r="E4" s="286"/>
    </row>
    <row r="5" spans="1:6" s="235" customFormat="1" ht="15">
      <c r="E5" s="286" t="s">
        <v>233</v>
      </c>
    </row>
    <row r="6" spans="1:6" s="235" customFormat="1" ht="15">
      <c r="E6" s="286" t="s">
        <v>318</v>
      </c>
    </row>
    <row r="7" spans="1:6" ht="15">
      <c r="A7" s="1" t="s">
        <v>29</v>
      </c>
      <c r="E7" s="174" t="s">
        <v>319</v>
      </c>
    </row>
    <row r="8" spans="1:6" ht="15.75" thickBot="1">
      <c r="E8" s="174" t="s">
        <v>30</v>
      </c>
      <c r="F8" s="354" t="s">
        <v>405</v>
      </c>
    </row>
    <row r="9" spans="1:6" ht="15.75" hidden="1" thickBot="1">
      <c r="B9" s="1" t="s">
        <v>32</v>
      </c>
      <c r="C9" s="122">
        <v>490267.7</v>
      </c>
      <c r="F9" s="167">
        <v>300000</v>
      </c>
    </row>
    <row r="10" spans="1:6" hidden="1">
      <c r="B10" t="s">
        <v>33</v>
      </c>
      <c r="C10" s="123">
        <v>-300000</v>
      </c>
    </row>
    <row r="11" spans="1:6" hidden="1">
      <c r="B11" t="s">
        <v>34</v>
      </c>
      <c r="C11" s="123">
        <v>-46260</v>
      </c>
    </row>
    <row r="12" spans="1:6" hidden="1">
      <c r="B12" t="s">
        <v>35</v>
      </c>
      <c r="C12" s="123">
        <v>43000</v>
      </c>
    </row>
    <row r="13" spans="1:6" hidden="1">
      <c r="B13" t="s">
        <v>36</v>
      </c>
      <c r="C13" s="123">
        <v>18000</v>
      </c>
    </row>
    <row r="14" spans="1:6" hidden="1">
      <c r="B14" t="s">
        <v>37</v>
      </c>
      <c r="C14" s="124">
        <v>27000</v>
      </c>
    </row>
    <row r="15" spans="1:6" hidden="1">
      <c r="B15" t="s">
        <v>38</v>
      </c>
      <c r="C15" s="124">
        <v>18000</v>
      </c>
    </row>
    <row r="16" spans="1:6" hidden="1">
      <c r="B16" t="s">
        <v>39</v>
      </c>
      <c r="C16" s="124">
        <v>27000</v>
      </c>
    </row>
    <row r="17" spans="2:5" hidden="1">
      <c r="B17" t="s">
        <v>40</v>
      </c>
      <c r="C17" s="124">
        <v>-32950</v>
      </c>
    </row>
    <row r="18" spans="2:5" hidden="1">
      <c r="B18" t="s">
        <v>41</v>
      </c>
      <c r="C18" s="124">
        <v>-6544</v>
      </c>
    </row>
    <row r="19" spans="2:5" ht="15" hidden="1" thickBot="1">
      <c r="B19" t="s">
        <v>42</v>
      </c>
      <c r="C19" s="124">
        <v>30177.18</v>
      </c>
    </row>
    <row r="20" spans="2:5" ht="24.75" hidden="1" customHeight="1" thickBot="1">
      <c r="B20" s="1" t="s">
        <v>43</v>
      </c>
      <c r="C20" s="121">
        <f>SUM(C9:C19)</f>
        <v>267690.88</v>
      </c>
      <c r="E20" s="121">
        <f>C20+300000</f>
        <v>567690.88</v>
      </c>
    </row>
    <row r="21" spans="2:5" ht="29.25" hidden="1" customHeight="1">
      <c r="B21" t="s">
        <v>44</v>
      </c>
      <c r="C21" s="119">
        <v>-104250</v>
      </c>
    </row>
    <row r="22" spans="2:5" hidden="1">
      <c r="B22" t="s">
        <v>45</v>
      </c>
      <c r="C22" s="123">
        <v>-4853</v>
      </c>
    </row>
    <row r="23" spans="2:5" hidden="1">
      <c r="B23" t="s">
        <v>46</v>
      </c>
      <c r="C23" s="123">
        <v>31500</v>
      </c>
    </row>
    <row r="24" spans="2:5" hidden="1">
      <c r="B24" t="s">
        <v>47</v>
      </c>
      <c r="C24" s="123">
        <v>27000</v>
      </c>
    </row>
    <row r="25" spans="2:5" hidden="1">
      <c r="B25" t="s">
        <v>40</v>
      </c>
      <c r="C25" s="123">
        <v>-23507</v>
      </c>
    </row>
    <row r="26" spans="2:5" hidden="1">
      <c r="B26" t="s">
        <v>48</v>
      </c>
      <c r="C26" s="123">
        <v>-3029</v>
      </c>
    </row>
    <row r="27" spans="2:5" ht="15" hidden="1" thickBot="1">
      <c r="B27" t="s">
        <v>49</v>
      </c>
      <c r="C27" s="123">
        <v>-27524.5</v>
      </c>
    </row>
    <row r="28" spans="2:5" ht="24" hidden="1" customHeight="1" thickBot="1">
      <c r="B28" s="50" t="s">
        <v>50</v>
      </c>
      <c r="C28" s="121">
        <f>SUM(C20:C27)</f>
        <v>163027.38</v>
      </c>
      <c r="E28" s="121">
        <f>C28+300000</f>
        <v>463027.38</v>
      </c>
    </row>
    <row r="29" spans="2:5" ht="31.5" hidden="1" customHeight="1">
      <c r="B29" t="s">
        <v>51</v>
      </c>
      <c r="C29" s="125">
        <f>-5918-12500-1294.81-259-3500</f>
        <v>-23471.81</v>
      </c>
    </row>
    <row r="30" spans="2:5" hidden="1">
      <c r="B30" t="s">
        <v>52</v>
      </c>
      <c r="C30" s="123">
        <v>-6312</v>
      </c>
      <c r="D30" t="s">
        <v>53</v>
      </c>
    </row>
    <row r="31" spans="2:5" hidden="1">
      <c r="B31" t="s">
        <v>54</v>
      </c>
      <c r="C31" s="123">
        <v>40500</v>
      </c>
      <c r="D31" t="s">
        <v>55</v>
      </c>
    </row>
    <row r="32" spans="2:5" hidden="1">
      <c r="B32" t="s">
        <v>56</v>
      </c>
      <c r="C32" s="123">
        <v>18000</v>
      </c>
      <c r="D32" t="s">
        <v>55</v>
      </c>
    </row>
    <row r="33" spans="2:5" hidden="1">
      <c r="B33" t="s">
        <v>57</v>
      </c>
      <c r="C33" s="123">
        <v>31500</v>
      </c>
      <c r="D33" t="s">
        <v>58</v>
      </c>
      <c r="E33" s="127" t="s">
        <v>59</v>
      </c>
    </row>
    <row r="34" spans="2:5" hidden="1">
      <c r="B34" t="s">
        <v>60</v>
      </c>
      <c r="C34" s="123">
        <v>18000</v>
      </c>
      <c r="D34" t="s">
        <v>55</v>
      </c>
    </row>
    <row r="35" spans="2:5" hidden="1">
      <c r="B35" t="s">
        <v>61</v>
      </c>
      <c r="C35" s="123">
        <v>54000</v>
      </c>
      <c r="D35" t="s">
        <v>55</v>
      </c>
    </row>
    <row r="36" spans="2:5" hidden="1">
      <c r="B36" t="s">
        <v>62</v>
      </c>
      <c r="C36" s="123">
        <v>13500</v>
      </c>
      <c r="D36" t="s">
        <v>63</v>
      </c>
    </row>
    <row r="37" spans="2:5" hidden="1">
      <c r="B37" t="s">
        <v>64</v>
      </c>
      <c r="C37" s="123">
        <v>-117625</v>
      </c>
    </row>
    <row r="38" spans="2:5" hidden="1">
      <c r="B38" t="s">
        <v>40</v>
      </c>
      <c r="C38" s="123">
        <f>-18750-6750-6750-1462.5</f>
        <v>-33712.5</v>
      </c>
    </row>
    <row r="39" spans="2:5" hidden="1">
      <c r="B39" t="s">
        <v>48</v>
      </c>
      <c r="C39" s="123">
        <f>-11017.27-1150.34</f>
        <v>-12167.61</v>
      </c>
    </row>
    <row r="40" spans="2:5" hidden="1">
      <c r="B40" t="s">
        <v>65</v>
      </c>
      <c r="C40" s="123">
        <v>-3376.25</v>
      </c>
    </row>
    <row r="41" spans="2:5" hidden="1">
      <c r="B41" t="s">
        <v>66</v>
      </c>
      <c r="C41" s="123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50" t="s">
        <v>68</v>
      </c>
      <c r="C43" s="121">
        <f>SUM(C28:C42)</f>
        <v>133477.70000000001</v>
      </c>
      <c r="E43" s="121">
        <f>C43+300000</f>
        <v>433477.7</v>
      </c>
    </row>
    <row r="44" spans="2:5" ht="29.25" hidden="1" customHeight="1">
      <c r="B44" t="s">
        <v>69</v>
      </c>
      <c r="C44" s="125">
        <f>-13125-79875-9000</f>
        <v>-102000</v>
      </c>
    </row>
    <row r="45" spans="2:5" hidden="1">
      <c r="B45" t="s">
        <v>70</v>
      </c>
      <c r="C45" s="123">
        <v>-18286.02</v>
      </c>
    </row>
    <row r="46" spans="2:5" hidden="1">
      <c r="B46" t="s">
        <v>71</v>
      </c>
      <c r="C46" s="123">
        <v>-3623.75</v>
      </c>
    </row>
    <row r="47" spans="2:5" hidden="1">
      <c r="B47" t="s">
        <v>72</v>
      </c>
      <c r="C47" s="123">
        <v>88678</v>
      </c>
    </row>
    <row r="48" spans="2:5" hidden="1">
      <c r="B48" t="s">
        <v>73</v>
      </c>
      <c r="C48" s="123">
        <v>-20825</v>
      </c>
    </row>
    <row r="49" spans="2:6" hidden="1">
      <c r="B49" t="s">
        <v>74</v>
      </c>
      <c r="C49" s="123">
        <v>-2125</v>
      </c>
    </row>
    <row r="50" spans="2:6" hidden="1">
      <c r="B50" t="s">
        <v>75</v>
      </c>
      <c r="C50" s="123">
        <v>-877.94</v>
      </c>
    </row>
    <row r="51" spans="2:6" hidden="1">
      <c r="B51" t="s">
        <v>76</v>
      </c>
      <c r="C51" s="123">
        <v>-3000</v>
      </c>
    </row>
    <row r="52" spans="2:6" hidden="1">
      <c r="B52" t="s">
        <v>77</v>
      </c>
      <c r="C52" s="123">
        <v>-15000</v>
      </c>
    </row>
    <row r="53" spans="2:6" ht="15" hidden="1" thickBot="1">
      <c r="B53" t="s">
        <v>78</v>
      </c>
      <c r="C53" s="123">
        <v>11626.97</v>
      </c>
    </row>
    <row r="54" spans="2:6" ht="30.75" hidden="1" customHeight="1" thickBot="1">
      <c r="B54" s="50" t="s">
        <v>79</v>
      </c>
      <c r="C54" s="121">
        <f>SUM(C43:C53)</f>
        <v>68044.960000000006</v>
      </c>
      <c r="E54" s="121">
        <f>C54+300000</f>
        <v>368044.96</v>
      </c>
      <c r="F54" s="167">
        <v>300000</v>
      </c>
    </row>
    <row r="55" spans="2:6" ht="28.5" hidden="1" customHeight="1">
      <c r="B55" t="s">
        <v>80</v>
      </c>
      <c r="C55" s="125">
        <v>-40850</v>
      </c>
    </row>
    <row r="56" spans="2:6" hidden="1">
      <c r="B56" t="s">
        <v>72</v>
      </c>
      <c r="C56" s="123">
        <v>30678</v>
      </c>
    </row>
    <row r="57" spans="2:6" hidden="1">
      <c r="B57" t="s">
        <v>81</v>
      </c>
      <c r="C57" s="123">
        <v>13500</v>
      </c>
    </row>
    <row r="58" spans="2:6" hidden="1">
      <c r="B58" t="s">
        <v>82</v>
      </c>
      <c r="C58" s="150">
        <v>-4950</v>
      </c>
    </row>
    <row r="59" spans="2:6" ht="15" hidden="1" thickBot="1">
      <c r="B59" t="s">
        <v>83</v>
      </c>
      <c r="C59" s="150">
        <v>5394.93</v>
      </c>
      <c r="F59" s="177" t="s">
        <v>31</v>
      </c>
    </row>
    <row r="60" spans="2:6" ht="30.75" hidden="1" customHeight="1" thickBot="1">
      <c r="B60" s="50" t="s">
        <v>84</v>
      </c>
      <c r="C60" s="121">
        <f>SUM(C54:C59)</f>
        <v>71817.890000000014</v>
      </c>
      <c r="E60" s="121">
        <f>C60+300000</f>
        <v>371817.89</v>
      </c>
      <c r="F60" s="167">
        <v>300000</v>
      </c>
    </row>
    <row r="61" spans="2:6" ht="27.75" hidden="1" customHeight="1"/>
    <row r="62" spans="2:6" hidden="1">
      <c r="B62" t="s">
        <v>85</v>
      </c>
      <c r="C62" s="125">
        <v>-14000</v>
      </c>
    </row>
    <row r="63" spans="2:6" hidden="1">
      <c r="B63" t="s">
        <v>86</v>
      </c>
      <c r="C63" s="119">
        <v>27000</v>
      </c>
    </row>
    <row r="64" spans="2:6" hidden="1">
      <c r="B64" t="s">
        <v>87</v>
      </c>
      <c r="C64" s="119">
        <v>36000</v>
      </c>
    </row>
    <row r="65" spans="2:6" hidden="1">
      <c r="B65" t="s">
        <v>88</v>
      </c>
      <c r="C65" s="119">
        <v>-7500</v>
      </c>
    </row>
    <row r="66" spans="2:6" hidden="1">
      <c r="B66" t="s">
        <v>89</v>
      </c>
      <c r="C66" s="119">
        <v>-7500</v>
      </c>
    </row>
    <row r="67" spans="2:6" hidden="1">
      <c r="B67" t="s">
        <v>90</v>
      </c>
      <c r="C67" s="123">
        <v>-944</v>
      </c>
    </row>
    <row r="68" spans="2:6" ht="15" hidden="1" thickBot="1">
      <c r="B68" s="178" t="s">
        <v>91</v>
      </c>
      <c r="C68" s="166">
        <v>-25401.83</v>
      </c>
      <c r="E68" s="168"/>
      <c r="F68" s="177" t="s">
        <v>31</v>
      </c>
    </row>
    <row r="69" spans="2:6" ht="30.75" hidden="1" customHeight="1" thickBot="1">
      <c r="B69" s="211" t="s">
        <v>261</v>
      </c>
      <c r="C69" s="121">
        <f>E60-F60+SUM(C62:C68)</f>
        <v>79472.060000000012</v>
      </c>
      <c r="E69" s="121">
        <f>C69+298509</f>
        <v>377981.06</v>
      </c>
      <c r="F69" s="167">
        <v>280317</v>
      </c>
    </row>
    <row r="70" spans="2:6" ht="27.75" hidden="1" customHeight="1"/>
    <row r="71" spans="2:6" hidden="1">
      <c r="B71" t="s">
        <v>92</v>
      </c>
      <c r="C71" s="125">
        <v>0</v>
      </c>
    </row>
    <row r="72" spans="2:6" hidden="1">
      <c r="B72" t="s">
        <v>93</v>
      </c>
      <c r="C72" s="119">
        <v>12000</v>
      </c>
    </row>
    <row r="73" spans="2:6" hidden="1">
      <c r="B73" t="s">
        <v>94</v>
      </c>
      <c r="C73" s="123">
        <v>-6496</v>
      </c>
    </row>
    <row r="74" spans="2:6" hidden="1">
      <c r="B74" s="178" t="s">
        <v>95</v>
      </c>
      <c r="C74" s="123">
        <v>-11596</v>
      </c>
      <c r="E74" s="168"/>
      <c r="F74" s="177"/>
    </row>
    <row r="75" spans="2:6" ht="15" hidden="1" thickBot="1">
      <c r="B75" s="178" t="s">
        <v>96</v>
      </c>
      <c r="C75" s="123">
        <f>19783.51-4975</f>
        <v>14808.509999999998</v>
      </c>
      <c r="E75" s="168"/>
      <c r="F75" s="177" t="s">
        <v>31</v>
      </c>
    </row>
    <row r="76" spans="2:6" ht="30.75" hidden="1" customHeight="1" thickBot="1">
      <c r="B76" s="211" t="s">
        <v>262</v>
      </c>
      <c r="C76" s="121">
        <f>E69-F69+SUM(C71:C75)</f>
        <v>106380.56999999999</v>
      </c>
      <c r="E76" s="121">
        <f>C76+F76</f>
        <v>306380.57</v>
      </c>
      <c r="F76" s="167">
        <v>200000</v>
      </c>
    </row>
    <row r="77" spans="2:6" ht="27.75" hidden="1" customHeight="1"/>
    <row r="78" spans="2:6" hidden="1">
      <c r="B78" t="s">
        <v>97</v>
      </c>
      <c r="C78" s="125">
        <v>-29950</v>
      </c>
    </row>
    <row r="79" spans="2:6" hidden="1">
      <c r="B79" t="s">
        <v>93</v>
      </c>
      <c r="C79" s="119">
        <v>6000</v>
      </c>
    </row>
    <row r="80" spans="2:6" hidden="1">
      <c r="B80" t="s">
        <v>98</v>
      </c>
      <c r="C80" s="123">
        <v>0</v>
      </c>
    </row>
    <row r="81" spans="2:6" ht="15" hidden="1" thickBot="1">
      <c r="B81" s="235" t="s">
        <v>256</v>
      </c>
      <c r="C81" s="123">
        <v>33048.75</v>
      </c>
      <c r="E81" s="168"/>
      <c r="F81" s="177" t="s">
        <v>31</v>
      </c>
    </row>
    <row r="82" spans="2:6" ht="30.75" hidden="1" customHeight="1" thickBot="1">
      <c r="B82" s="211" t="s">
        <v>263</v>
      </c>
      <c r="C82" s="121">
        <f>SUM(C76:C81)</f>
        <v>115479.31999999999</v>
      </c>
      <c r="E82" s="121">
        <f>C82+F82</f>
        <v>315479.32</v>
      </c>
      <c r="F82" s="167">
        <v>200000</v>
      </c>
    </row>
    <row r="83" spans="2:6" ht="27.75" hidden="1" customHeight="1"/>
    <row r="84" spans="2:6" hidden="1">
      <c r="B84" s="233" t="s">
        <v>259</v>
      </c>
      <c r="C84" s="125">
        <v>-32500</v>
      </c>
    </row>
    <row r="85" spans="2:6" s="235" customFormat="1" hidden="1">
      <c r="B85" s="233" t="s">
        <v>260</v>
      </c>
      <c r="C85" s="234">
        <v>-2300.44</v>
      </c>
    </row>
    <row r="86" spans="2:6" s="235" customFormat="1" hidden="1">
      <c r="B86" s="235" t="s">
        <v>264</v>
      </c>
      <c r="C86" s="234">
        <f>-12000+0</f>
        <v>-12000</v>
      </c>
    </row>
    <row r="87" spans="2:6" hidden="1">
      <c r="B87" s="235" t="s">
        <v>258</v>
      </c>
      <c r="C87" s="119">
        <v>0</v>
      </c>
    </row>
    <row r="88" spans="2:6" hidden="1">
      <c r="B88" s="178" t="s">
        <v>99</v>
      </c>
      <c r="C88" s="123">
        <v>0</v>
      </c>
    </row>
    <row r="89" spans="2:6" s="235" customFormat="1" hidden="1">
      <c r="B89" s="235" t="s">
        <v>280</v>
      </c>
      <c r="C89" s="221">
        <f>76561.19-68678.88</f>
        <v>7882.3099999999977</v>
      </c>
    </row>
    <row r="90" spans="2:6" ht="15" hidden="1" thickBot="1">
      <c r="B90" s="178"/>
      <c r="C90" s="123">
        <v>0</v>
      </c>
      <c r="E90" s="168"/>
      <c r="F90" s="177" t="s">
        <v>31</v>
      </c>
    </row>
    <row r="91" spans="2:6" ht="30.75" hidden="1" customHeight="1" thickBot="1">
      <c r="B91" s="211" t="s">
        <v>290</v>
      </c>
      <c r="C91" s="121">
        <f>SUM(C82:C90)</f>
        <v>76561.189999999988</v>
      </c>
      <c r="E91" s="121">
        <f>C91+F91</f>
        <v>300561.19</v>
      </c>
      <c r="F91" s="167">
        <v>224000</v>
      </c>
    </row>
    <row r="92" spans="2:6" ht="27.75" hidden="1" customHeight="1"/>
    <row r="93" spans="2:6" hidden="1">
      <c r="B93" s="235" t="s">
        <v>257</v>
      </c>
      <c r="C93" s="222">
        <v>-15000</v>
      </c>
      <c r="D93" s="235"/>
      <c r="E93" s="235"/>
      <c r="F93" s="235"/>
    </row>
    <row r="94" spans="2:6" s="235" customFormat="1" hidden="1">
      <c r="B94" s="227" t="s">
        <v>296</v>
      </c>
      <c r="C94" s="222">
        <v>-26950</v>
      </c>
    </row>
    <row r="95" spans="2:6" s="235" customFormat="1" hidden="1">
      <c r="C95" s="221">
        <v>0</v>
      </c>
    </row>
    <row r="96" spans="2:6" ht="15" hidden="1" thickBot="1">
      <c r="B96" s="235" t="s">
        <v>285</v>
      </c>
      <c r="C96" s="221">
        <v>35676.6</v>
      </c>
      <c r="D96" s="235"/>
      <c r="E96" s="225"/>
      <c r="F96" s="226" t="s">
        <v>31</v>
      </c>
    </row>
    <row r="97" spans="2:6" ht="30.75" hidden="1" customHeight="1" thickBot="1">
      <c r="B97" s="211" t="s">
        <v>291</v>
      </c>
      <c r="C97" s="220">
        <f>SUM(C91:C96)</f>
        <v>70287.789999999979</v>
      </c>
      <c r="D97" s="235"/>
      <c r="E97" s="220">
        <f>C97+F97</f>
        <v>294287.78999999998</v>
      </c>
      <c r="F97" s="224">
        <v>224000</v>
      </c>
    </row>
    <row r="98" spans="2:6" ht="27.75" hidden="1" customHeight="1"/>
    <row r="99" spans="2:6" hidden="1">
      <c r="B99" s="227" t="s">
        <v>289</v>
      </c>
      <c r="C99" s="222">
        <v>0</v>
      </c>
      <c r="D99" s="235"/>
      <c r="E99" s="235"/>
      <c r="F99" s="235"/>
    </row>
    <row r="100" spans="2:6" hidden="1">
      <c r="B100" s="227" t="s">
        <v>293</v>
      </c>
      <c r="C100" s="221">
        <v>-7356.78</v>
      </c>
      <c r="D100" s="235"/>
      <c r="E100" s="235"/>
      <c r="F100" s="235"/>
    </row>
    <row r="101" spans="2:6" ht="15" hidden="1" thickBot="1">
      <c r="B101" s="227"/>
      <c r="C101" s="221">
        <v>0</v>
      </c>
      <c r="D101" s="235"/>
      <c r="E101" s="225"/>
      <c r="F101" s="226" t="s">
        <v>31</v>
      </c>
    </row>
    <row r="102" spans="2:6" ht="30" hidden="1" customHeight="1" thickBot="1">
      <c r="B102" s="211" t="s">
        <v>292</v>
      </c>
      <c r="C102" s="220">
        <f>SUM(C97:C101)</f>
        <v>62931.00999999998</v>
      </c>
      <c r="D102" s="235"/>
      <c r="E102" s="220">
        <f>C102+F102</f>
        <v>286931.01</v>
      </c>
      <c r="F102" s="224">
        <v>224000</v>
      </c>
    </row>
    <row r="103" spans="2:6" ht="27.75" hidden="1" customHeight="1"/>
    <row r="104" spans="2:6" hidden="1">
      <c r="B104" s="227" t="s">
        <v>294</v>
      </c>
      <c r="C104" s="287">
        <v>0</v>
      </c>
      <c r="D104" s="235"/>
      <c r="E104" s="235"/>
      <c r="F104" s="235"/>
    </row>
    <row r="105" spans="2:6" hidden="1">
      <c r="B105" s="227" t="s">
        <v>305</v>
      </c>
      <c r="C105" s="222">
        <v>0</v>
      </c>
      <c r="D105" s="235"/>
      <c r="E105" s="235"/>
      <c r="F105" s="271">
        <v>35990</v>
      </c>
    </row>
    <row r="106" spans="2:6" hidden="1">
      <c r="B106" s="227" t="s">
        <v>295</v>
      </c>
      <c r="C106" s="221">
        <v>25924.240000000002</v>
      </c>
      <c r="D106" s="235"/>
      <c r="E106" s="235"/>
      <c r="F106" s="235"/>
    </row>
    <row r="107" spans="2:6" ht="15" hidden="1" thickBot="1">
      <c r="B107" s="227"/>
      <c r="C107" s="221">
        <v>0</v>
      </c>
      <c r="D107" s="235"/>
      <c r="E107" s="225"/>
      <c r="F107" s="226" t="s">
        <v>31</v>
      </c>
    </row>
    <row r="108" spans="2:6" ht="30.75" hidden="1" customHeight="1" thickBot="1">
      <c r="B108" s="211" t="s">
        <v>303</v>
      </c>
      <c r="C108" s="220">
        <f>SUM(C102:C107)</f>
        <v>88855.249999999985</v>
      </c>
      <c r="D108" s="235"/>
      <c r="E108" s="220">
        <f>C108+F108</f>
        <v>348845.25</v>
      </c>
      <c r="F108" s="224">
        <f>224000+35990</f>
        <v>259990</v>
      </c>
    </row>
    <row r="109" spans="2:6" ht="27" hidden="1" customHeight="1"/>
    <row r="110" spans="2:6" hidden="1">
      <c r="B110" s="227" t="s">
        <v>297</v>
      </c>
      <c r="C110" s="222">
        <v>35990</v>
      </c>
      <c r="D110" s="235"/>
      <c r="E110" s="235"/>
      <c r="F110" s="235"/>
    </row>
    <row r="111" spans="2:6" hidden="1">
      <c r="B111" s="227" t="s">
        <v>304</v>
      </c>
      <c r="C111" s="222">
        <v>0</v>
      </c>
      <c r="D111" s="235"/>
      <c r="E111" s="235"/>
      <c r="F111" s="235"/>
    </row>
    <row r="112" spans="2:6" hidden="1">
      <c r="B112" s="227" t="s">
        <v>298</v>
      </c>
      <c r="C112" s="221">
        <v>28913.82</v>
      </c>
      <c r="D112" s="235"/>
      <c r="E112" s="235"/>
      <c r="F112" s="235"/>
    </row>
    <row r="113" spans="2:6" ht="15" hidden="1" thickBot="1">
      <c r="B113" s="227"/>
      <c r="C113" s="221">
        <v>0</v>
      </c>
      <c r="D113" s="235"/>
      <c r="E113" s="225"/>
      <c r="F113" s="226" t="s">
        <v>31</v>
      </c>
    </row>
    <row r="114" spans="2:6" ht="30.75" hidden="1" customHeight="1" thickBot="1">
      <c r="B114" s="211" t="s">
        <v>335</v>
      </c>
      <c r="C114" s="305">
        <f>SUM(C108:C113)</f>
        <v>153759.06999999998</v>
      </c>
      <c r="D114" s="235"/>
      <c r="E114" s="306">
        <f>C114+F114</f>
        <v>377759.06999999995</v>
      </c>
      <c r="F114" s="305">
        <v>224000</v>
      </c>
    </row>
    <row r="115" spans="2:6" ht="27" hidden="1" customHeight="1"/>
    <row r="116" spans="2:6" hidden="1">
      <c r="B116" s="227" t="s">
        <v>391</v>
      </c>
      <c r="C116" s="222">
        <v>-20500</v>
      </c>
      <c r="D116" s="235"/>
      <c r="E116" s="235"/>
      <c r="F116" s="235"/>
    </row>
    <row r="117" spans="2:6" hidden="1">
      <c r="B117" s="227" t="s">
        <v>330</v>
      </c>
      <c r="C117" s="222">
        <v>-2500</v>
      </c>
      <c r="D117" s="235"/>
      <c r="E117" s="235"/>
      <c r="F117" s="235"/>
    </row>
    <row r="118" spans="2:6" hidden="1">
      <c r="B118" s="227" t="s">
        <v>329</v>
      </c>
      <c r="C118" s="221">
        <v>-17948.490000000002</v>
      </c>
      <c r="D118" s="235"/>
      <c r="E118" s="235"/>
      <c r="F118" s="235"/>
    </row>
    <row r="119" spans="2:6" ht="15" hidden="1" thickBot="1">
      <c r="B119" s="227"/>
      <c r="C119" s="221">
        <v>0</v>
      </c>
      <c r="D119" s="235"/>
      <c r="E119" s="225"/>
      <c r="F119" s="226" t="s">
        <v>31</v>
      </c>
    </row>
    <row r="120" spans="2:6" ht="30.75" hidden="1" customHeight="1" thickBot="1">
      <c r="B120" s="211" t="s">
        <v>334</v>
      </c>
      <c r="C120" s="307">
        <f>SUM(C114:C119)</f>
        <v>112810.57999999997</v>
      </c>
      <c r="D120" s="235"/>
      <c r="E120" s="308">
        <f>C120+F120</f>
        <v>336810.57999999996</v>
      </c>
      <c r="F120" s="307">
        <v>224000</v>
      </c>
    </row>
    <row r="121" spans="2:6" hidden="1"/>
    <row r="122" spans="2:6" hidden="1">
      <c r="B122" s="227" t="s">
        <v>333</v>
      </c>
      <c r="C122" s="222">
        <v>-65000</v>
      </c>
      <c r="D122" s="235"/>
      <c r="E122" s="235"/>
      <c r="F122" s="235"/>
    </row>
    <row r="123" spans="2:6" hidden="1">
      <c r="B123" s="227" t="s">
        <v>311</v>
      </c>
      <c r="C123" s="304"/>
      <c r="D123" s="235"/>
      <c r="E123" s="235"/>
      <c r="F123" s="235"/>
    </row>
    <row r="124" spans="2:6" hidden="1">
      <c r="B124" s="227" t="s">
        <v>312</v>
      </c>
      <c r="C124" s="221">
        <v>102937.97</v>
      </c>
      <c r="D124" s="235"/>
      <c r="E124" s="235"/>
      <c r="F124" s="235"/>
    </row>
    <row r="125" spans="2:6" ht="15" hidden="1" thickBot="1">
      <c r="B125" s="227"/>
      <c r="C125" s="221">
        <v>0</v>
      </c>
      <c r="D125" s="235"/>
      <c r="E125" s="225"/>
      <c r="F125" s="226" t="s">
        <v>31</v>
      </c>
    </row>
    <row r="126" spans="2:6" ht="30" customHeight="1" thickBot="1">
      <c r="B126" s="211" t="s">
        <v>394</v>
      </c>
      <c r="C126" s="311">
        <f>SUM(C120:C125)</f>
        <v>150748.54999999999</v>
      </c>
      <c r="D126" s="235"/>
      <c r="E126" s="345">
        <f>C126+F126</f>
        <v>374748.55</v>
      </c>
      <c r="F126" s="311">
        <v>224000</v>
      </c>
    </row>
    <row r="128" spans="2:6">
      <c r="B128" s="227" t="s">
        <v>332</v>
      </c>
      <c r="C128" s="304">
        <f>'2023 Preliminary budget'!H45*-1</f>
        <v>-60000</v>
      </c>
      <c r="D128" s="235"/>
      <c r="E128" s="235"/>
      <c r="F128" s="235"/>
    </row>
    <row r="129" spans="2:6">
      <c r="B129" s="227" t="s">
        <v>327</v>
      </c>
      <c r="C129" s="222">
        <f>'2023 Preliminary budget'!E45*-1</f>
        <v>0</v>
      </c>
      <c r="D129" s="235"/>
      <c r="E129" s="235"/>
      <c r="F129" s="235"/>
    </row>
    <row r="130" spans="2:6" s="235" customFormat="1">
      <c r="B130" s="327" t="s">
        <v>388</v>
      </c>
      <c r="C130" s="222">
        <v>76033.48</v>
      </c>
    </row>
    <row r="131" spans="2:6">
      <c r="B131" s="227" t="s">
        <v>328</v>
      </c>
      <c r="C131" s="221">
        <f>399901.27-390782.03</f>
        <v>9119.2399999999907</v>
      </c>
      <c r="D131" s="235"/>
      <c r="E131" s="235"/>
      <c r="F131" s="235"/>
    </row>
    <row r="132" spans="2:6" ht="15" thickBot="1">
      <c r="B132" s="227"/>
      <c r="C132" s="221">
        <v>0</v>
      </c>
      <c r="D132" s="235"/>
      <c r="E132" s="353" t="s">
        <v>404</v>
      </c>
      <c r="F132" s="354" t="s">
        <v>405</v>
      </c>
    </row>
    <row r="133" spans="2:6" ht="30" customHeight="1" thickBot="1">
      <c r="B133" s="211" t="s">
        <v>395</v>
      </c>
      <c r="C133" s="311">
        <f>SUM(C126:C132)</f>
        <v>175901.26999999996</v>
      </c>
      <c r="D133" s="235"/>
      <c r="E133" s="345">
        <f>C133+F133</f>
        <v>399901.26999999996</v>
      </c>
      <c r="F133" s="311">
        <v>224000</v>
      </c>
    </row>
    <row r="135" spans="2:6">
      <c r="B135" s="227" t="s">
        <v>331</v>
      </c>
      <c r="C135" s="304">
        <v>-60000</v>
      </c>
      <c r="D135" s="235"/>
      <c r="E135" s="235"/>
      <c r="F135" s="235"/>
    </row>
    <row r="136" spans="2:6">
      <c r="B136" s="227" t="s">
        <v>389</v>
      </c>
      <c r="C136" s="222">
        <f>'2023 Preliminary budget'!E52*-1</f>
        <v>0</v>
      </c>
      <c r="D136" s="235"/>
      <c r="E136" s="235"/>
      <c r="F136" s="235"/>
    </row>
    <row r="137" spans="2:6">
      <c r="B137" s="327" t="s">
        <v>390</v>
      </c>
      <c r="C137" s="222">
        <v>0</v>
      </c>
      <c r="D137" s="235"/>
      <c r="E137" s="235"/>
      <c r="F137" s="235"/>
    </row>
    <row r="138" spans="2:6">
      <c r="B138" s="227" t="s">
        <v>387</v>
      </c>
      <c r="C138" s="221">
        <v>0</v>
      </c>
      <c r="D138" s="235"/>
      <c r="E138" s="235"/>
      <c r="F138" s="235"/>
    </row>
    <row r="139" spans="2:6" ht="15" thickBot="1">
      <c r="B139" s="227"/>
      <c r="C139" s="221">
        <v>0</v>
      </c>
      <c r="D139" s="235"/>
      <c r="E139" s="353" t="s">
        <v>404</v>
      </c>
      <c r="F139" s="354" t="s">
        <v>405</v>
      </c>
    </row>
    <row r="140" spans="2:6" ht="30" customHeight="1" thickBot="1">
      <c r="B140" s="211" t="s">
        <v>386</v>
      </c>
      <c r="C140" s="309">
        <f>SUM(C133:C139)</f>
        <v>115901.26999999996</v>
      </c>
      <c r="D140" s="235"/>
      <c r="E140" s="310">
        <f>C140+F140</f>
        <v>339901.26999999996</v>
      </c>
      <c r="F140" s="309">
        <v>224000</v>
      </c>
    </row>
    <row r="142" spans="2:6">
      <c r="B142" s="227" t="s">
        <v>385</v>
      </c>
      <c r="C142" s="304">
        <v>-60000</v>
      </c>
      <c r="D142" s="235"/>
      <c r="E142" s="235"/>
      <c r="F142" s="235"/>
    </row>
    <row r="143" spans="2:6">
      <c r="B143" s="227" t="s">
        <v>392</v>
      </c>
      <c r="C143" s="222">
        <f>'2023 Preliminary budget'!E59*-1</f>
        <v>0</v>
      </c>
      <c r="D143" s="235"/>
      <c r="E143" s="235"/>
      <c r="F143" s="235"/>
    </row>
    <row r="144" spans="2:6">
      <c r="B144" s="327" t="s">
        <v>390</v>
      </c>
      <c r="C144" s="222">
        <v>0</v>
      </c>
      <c r="D144" s="235"/>
      <c r="E144" s="235"/>
      <c r="F144" s="235"/>
    </row>
    <row r="145" spans="2:6">
      <c r="B145" s="227" t="s">
        <v>393</v>
      </c>
      <c r="C145" s="221">
        <v>0</v>
      </c>
      <c r="D145" s="235"/>
      <c r="E145" s="235"/>
      <c r="F145" s="235"/>
    </row>
    <row r="146" spans="2:6" ht="15" thickBot="1">
      <c r="B146" s="227"/>
      <c r="C146" s="221">
        <v>0</v>
      </c>
      <c r="D146" s="235"/>
      <c r="E146" s="353" t="s">
        <v>404</v>
      </c>
      <c r="F146" s="354" t="s">
        <v>405</v>
      </c>
    </row>
    <row r="147" spans="2:6" ht="30.75" customHeight="1" thickBot="1">
      <c r="B147" s="211" t="s">
        <v>403</v>
      </c>
      <c r="C147" s="309">
        <f>SUM(C140:C146)</f>
        <v>55901.26999999996</v>
      </c>
      <c r="D147" s="235"/>
      <c r="E147" s="310">
        <f>C147+F147</f>
        <v>279901.26999999996</v>
      </c>
      <c r="F147" s="309">
        <v>224000</v>
      </c>
    </row>
  </sheetData>
  <phoneticPr fontId="0" type="noConversion"/>
  <printOptions horizontalCentered="1"/>
  <pageMargins left="0.36" right="0.35" top="0.98" bottom="0.6" header="0.47" footer="0.46"/>
  <pageSetup scale="91" orientation="portrait" horizontalDpi="4294967292" verticalDpi="4294967292" r:id="rId1"/>
  <headerFooter>
    <oddHeader>&amp;C2022 Approved MORE Budget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97"/>
  <sheetViews>
    <sheetView showRuler="0"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44.375" bestFit="1" customWidth="1"/>
    <col min="4" max="4" width="12.625" customWidth="1"/>
    <col min="5" max="5" width="18.375" bestFit="1" customWidth="1"/>
    <col min="6" max="6" width="10.375" customWidth="1"/>
    <col min="7" max="7" width="10.375" style="235" customWidth="1"/>
    <col min="8" max="8" width="10.875" customWidth="1"/>
    <col min="9" max="9" width="10.875" hidden="1" customWidth="1"/>
    <col min="10" max="11" width="10.625" customWidth="1"/>
  </cols>
  <sheetData>
    <row r="1" spans="1:12" ht="15">
      <c r="A1" s="1" t="s">
        <v>364</v>
      </c>
    </row>
    <row r="2" spans="1:12">
      <c r="A2" s="62" t="s">
        <v>365</v>
      </c>
    </row>
    <row r="3" spans="1:12" ht="15" thickBot="1">
      <c r="A3" s="362">
        <v>44683</v>
      </c>
      <c r="B3" s="362"/>
      <c r="C3" s="362"/>
    </row>
    <row r="4" spans="1:12" ht="15.75" thickBot="1">
      <c r="C4" s="64" t="s">
        <v>396</v>
      </c>
      <c r="D4" s="76">
        <f>'2023 Preliminary budget'!H47</f>
        <v>935110</v>
      </c>
      <c r="E4" s="78"/>
      <c r="F4" s="79"/>
      <c r="G4" s="79"/>
    </row>
    <row r="5" spans="1:12" ht="15.75" thickBot="1">
      <c r="C5" s="64" t="s">
        <v>397</v>
      </c>
      <c r="D5" s="76">
        <f>'MORE Formula w 3-yr Avg ''19-''21'!F5</f>
        <v>23696</v>
      </c>
      <c r="E5" s="78"/>
      <c r="F5" s="79"/>
      <c r="G5" s="79"/>
    </row>
    <row r="6" spans="1:12" ht="15.75" thickBot="1">
      <c r="C6" s="64" t="s">
        <v>398</v>
      </c>
      <c r="D6" s="76">
        <f>D4-D5</f>
        <v>911414</v>
      </c>
      <c r="E6" s="78"/>
      <c r="F6" s="79"/>
      <c r="G6" s="79"/>
      <c r="J6" s="361"/>
      <c r="K6" s="361"/>
    </row>
    <row r="7" spans="1:12" ht="15">
      <c r="B7" s="118" t="s">
        <v>399</v>
      </c>
      <c r="C7" s="118"/>
      <c r="D7" s="66"/>
      <c r="E7" s="251">
        <f>'MORE Formula w 3-yr Avg ''19-''21'!M2</f>
        <v>1600</v>
      </c>
      <c r="F7" s="251"/>
      <c r="H7" s="67"/>
      <c r="J7" s="361" t="s">
        <v>100</v>
      </c>
      <c r="K7" s="361"/>
    </row>
    <row r="8" spans="1:12" s="235" customFormat="1" ht="15" thickBot="1">
      <c r="B8" s="118" t="s">
        <v>400</v>
      </c>
      <c r="C8" s="118"/>
      <c r="D8" s="66"/>
      <c r="E8" s="251">
        <f>'MORE Formula w 3-yr Avg ''19-''21'!M3</f>
        <v>20000</v>
      </c>
      <c r="H8" s="67"/>
      <c r="J8" s="160" t="s">
        <v>101</v>
      </c>
      <c r="K8" s="160" t="s">
        <v>102</v>
      </c>
    </row>
    <row r="9" spans="1:12" ht="26.25" customHeight="1" thickBot="1">
      <c r="A9" s="118" t="s">
        <v>103</v>
      </c>
      <c r="C9" s="65"/>
      <c r="D9" s="66"/>
      <c r="E9" s="67"/>
      <c r="F9" s="67"/>
      <c r="G9" s="67"/>
      <c r="J9" s="159">
        <f>'MORE Formula w 3-yr Avg ''19-''21'!H5</f>
        <v>207000</v>
      </c>
      <c r="K9" s="159">
        <f>D6-J9</f>
        <v>704414</v>
      </c>
    </row>
    <row r="10" spans="1:12" ht="63" customHeight="1" thickBot="1">
      <c r="A10" s="63" t="s">
        <v>104</v>
      </c>
      <c r="B10" s="75"/>
      <c r="C10" s="179" t="s">
        <v>105</v>
      </c>
      <c r="D10" s="169" t="s">
        <v>277</v>
      </c>
      <c r="E10" s="180" t="s">
        <v>278</v>
      </c>
      <c r="F10" s="181" t="s">
        <v>286</v>
      </c>
      <c r="G10" s="298" t="s">
        <v>323</v>
      </c>
      <c r="H10" s="165" t="s">
        <v>367</v>
      </c>
      <c r="I10" s="180" t="s">
        <v>106</v>
      </c>
      <c r="J10" s="169" t="s">
        <v>368</v>
      </c>
      <c r="K10" s="170" t="s">
        <v>325</v>
      </c>
    </row>
    <row r="11" spans="1:12" ht="16.350000000000001" customHeight="1">
      <c r="A11" s="140">
        <v>1</v>
      </c>
      <c r="B11" s="57"/>
      <c r="C11" s="182" t="s">
        <v>107</v>
      </c>
      <c r="D11" s="183">
        <f>'MORE Formula w 3-yr Avg ''19-''21'!K9</f>
        <v>3.8059810282186149E-2</v>
      </c>
      <c r="E11" s="184">
        <f>($D$6*D11)</f>
        <v>34688.243928528405</v>
      </c>
      <c r="F11" s="185">
        <f t="shared" ref="F11:F16" si="0">IF(E11&lt;($E$7*2),E11/2,$E$7)</f>
        <v>1600</v>
      </c>
      <c r="G11" s="187"/>
      <c r="H11" s="186">
        <f>E11-F11-G11</f>
        <v>33088.243928528405</v>
      </c>
      <c r="I11" s="187">
        <f>ROUND(D11*1000,0)</f>
        <v>38</v>
      </c>
      <c r="J11" s="188">
        <f>ROUND($J$9*D11,0)</f>
        <v>7878</v>
      </c>
      <c r="K11" s="188">
        <f>H11-J11</f>
        <v>25210.243928528405</v>
      </c>
      <c r="L11" t="s">
        <v>255</v>
      </c>
    </row>
    <row r="12" spans="1:12" ht="16.350000000000001" customHeight="1">
      <c r="A12" s="141">
        <v>2</v>
      </c>
      <c r="B12" s="56"/>
      <c r="C12" s="189" t="s">
        <v>108</v>
      </c>
      <c r="D12" s="183">
        <f>'MORE Formula w 3-yr Avg ''19-''21'!K12</f>
        <v>1.7286895577391548E-2</v>
      </c>
      <c r="E12" s="70">
        <f t="shared" ref="E12:E62" si="1">($D$6*D12)</f>
        <v>15755.51864577274</v>
      </c>
      <c r="F12" s="328">
        <f t="shared" si="0"/>
        <v>1600</v>
      </c>
      <c r="G12" s="299"/>
      <c r="H12" s="190">
        <f>E12-F12-G12</f>
        <v>14155.51864577274</v>
      </c>
      <c r="I12" s="161">
        <f t="shared" ref="I12:I57" si="2">ROUND(D12*1000,0)</f>
        <v>17</v>
      </c>
      <c r="J12" s="70">
        <f>ROUND($J$9*D12,0)</f>
        <v>3578</v>
      </c>
      <c r="K12" s="70">
        <f>H12-J12</f>
        <v>10577.51864577274</v>
      </c>
      <c r="L12" t="s">
        <v>255</v>
      </c>
    </row>
    <row r="13" spans="1:12" ht="16.350000000000001" customHeight="1">
      <c r="A13" s="141">
        <v>3</v>
      </c>
      <c r="B13" s="56"/>
      <c r="C13" s="189" t="s">
        <v>109</v>
      </c>
      <c r="D13" s="183">
        <f>'MORE Formula w 3-yr Avg ''19-''21'!K13</f>
        <v>7.4384345210110345E-3</v>
      </c>
      <c r="E13" s="70">
        <f t="shared" si="1"/>
        <v>6779.4933605327506</v>
      </c>
      <c r="F13" s="328">
        <f t="shared" si="0"/>
        <v>1600</v>
      </c>
      <c r="G13" s="299"/>
      <c r="H13" s="190">
        <f t="shared" ref="H13:H62" si="3">E13-F13-G13</f>
        <v>5179.4933605327506</v>
      </c>
      <c r="I13" s="161">
        <f t="shared" si="2"/>
        <v>7</v>
      </c>
      <c r="J13" s="70">
        <f t="shared" ref="J13:J62" si="4">ROUND($J$9*D13,0)</f>
        <v>1540</v>
      </c>
      <c r="K13" s="70">
        <f t="shared" ref="K13:K62" si="5">H13-J13</f>
        <v>3639.4933605327506</v>
      </c>
      <c r="L13" t="s">
        <v>255</v>
      </c>
    </row>
    <row r="14" spans="1:12" ht="16.350000000000001" customHeight="1">
      <c r="A14" s="141">
        <v>4</v>
      </c>
      <c r="B14" s="56"/>
      <c r="C14" s="189" t="s">
        <v>366</v>
      </c>
      <c r="D14" s="183">
        <f>'MORE Formula w 3-yr Avg ''19-''21'!K26</f>
        <v>5.2259818813253532E-3</v>
      </c>
      <c r="E14" s="70">
        <f>($D$6*D14)</f>
        <v>4763.0330503862651</v>
      </c>
      <c r="F14" s="328">
        <f>'MORE Formula w 3-yr Avg ''19-''21'!M26</f>
        <v>-123.86791704615098</v>
      </c>
      <c r="G14" s="356"/>
      <c r="H14" s="190">
        <f>E14-F14-G14</f>
        <v>4886.9009674324161</v>
      </c>
      <c r="I14" s="357">
        <f>ROUND(D14*1000,0)</f>
        <v>5</v>
      </c>
      <c r="J14" s="70">
        <f>ROUND($J$9*D14,0)</f>
        <v>1082</v>
      </c>
      <c r="K14" s="70">
        <f>H14-J14</f>
        <v>3804.9009674324161</v>
      </c>
    </row>
    <row r="15" spans="1:12" ht="16.350000000000001" customHeight="1">
      <c r="A15" s="141">
        <v>5</v>
      </c>
      <c r="B15" s="56"/>
      <c r="C15" s="189" t="s">
        <v>110</v>
      </c>
      <c r="D15" s="183">
        <f>'MORE Formula w 3-yr Avg ''19-''21'!K27</f>
        <v>4.1490518093597059E-3</v>
      </c>
      <c r="E15" s="70">
        <f t="shared" si="1"/>
        <v>3781.5039057757672</v>
      </c>
      <c r="F15" s="328">
        <f t="shared" si="0"/>
        <v>1600</v>
      </c>
      <c r="G15" s="299"/>
      <c r="H15" s="190">
        <f t="shared" si="3"/>
        <v>2181.5039057757672</v>
      </c>
      <c r="I15" s="161">
        <f t="shared" si="2"/>
        <v>4</v>
      </c>
      <c r="J15" s="70">
        <f t="shared" si="4"/>
        <v>859</v>
      </c>
      <c r="K15" s="70">
        <f t="shared" si="5"/>
        <v>1322.5039057757672</v>
      </c>
    </row>
    <row r="16" spans="1:12" ht="16.350000000000001" customHeight="1">
      <c r="A16" s="141">
        <v>6</v>
      </c>
      <c r="B16" s="56"/>
      <c r="C16" s="189" t="s">
        <v>111</v>
      </c>
      <c r="D16" s="183">
        <f>'MORE Formula w 3-yr Avg ''19-''21'!K28</f>
        <v>4.876301866663167E-3</v>
      </c>
      <c r="E16" s="70">
        <f t="shared" si="1"/>
        <v>4444.3297895029436</v>
      </c>
      <c r="F16" s="328">
        <f t="shared" si="0"/>
        <v>1600</v>
      </c>
      <c r="G16" s="299"/>
      <c r="H16" s="190">
        <f t="shared" si="3"/>
        <v>2844.3297895029436</v>
      </c>
      <c r="I16" s="161">
        <f t="shared" si="2"/>
        <v>5</v>
      </c>
      <c r="J16" s="70">
        <f t="shared" si="4"/>
        <v>1009</v>
      </c>
      <c r="K16" s="70">
        <f t="shared" si="5"/>
        <v>1835.3297895029436</v>
      </c>
    </row>
    <row r="17" spans="1:12" ht="16.350000000000001" customHeight="1">
      <c r="A17" s="141">
        <v>7</v>
      </c>
      <c r="B17" s="56"/>
      <c r="C17" s="189" t="s">
        <v>112</v>
      </c>
      <c r="D17" s="183">
        <f>'MORE Formula w 3-yr Avg ''19-''21'!K31</f>
        <v>1.6529411792278823E-2</v>
      </c>
      <c r="E17" s="70">
        <f t="shared" si="1"/>
        <v>15065.137319248011</v>
      </c>
      <c r="F17" s="328">
        <f t="shared" ref="F17:F62" si="6">IF(E17&lt;($E$7*2),E17/2,$E$7)</f>
        <v>1600</v>
      </c>
      <c r="G17" s="299"/>
      <c r="H17" s="190">
        <f t="shared" si="3"/>
        <v>13465.137319248011</v>
      </c>
      <c r="I17" s="161">
        <f t="shared" si="2"/>
        <v>17</v>
      </c>
      <c r="J17" s="70">
        <f t="shared" si="4"/>
        <v>3422</v>
      </c>
      <c r="K17" s="70">
        <f t="shared" si="5"/>
        <v>10043.137319248011</v>
      </c>
      <c r="L17" t="s">
        <v>255</v>
      </c>
    </row>
    <row r="18" spans="1:12" ht="16.350000000000001" customHeight="1">
      <c r="A18" s="141">
        <v>8</v>
      </c>
      <c r="B18" s="56"/>
      <c r="C18" s="189" t="s">
        <v>113</v>
      </c>
      <c r="D18" s="183">
        <f>'MORE Formula w 3-yr Avg ''19-''21'!K36</f>
        <v>5.3478542724944792E-3</v>
      </c>
      <c r="E18" s="70">
        <f t="shared" si="1"/>
        <v>4874.1092539112833</v>
      </c>
      <c r="F18" s="328">
        <f t="shared" si="6"/>
        <v>1600</v>
      </c>
      <c r="G18" s="299"/>
      <c r="H18" s="190">
        <f t="shared" si="3"/>
        <v>3274.1092539112833</v>
      </c>
      <c r="I18" s="161">
        <f t="shared" si="2"/>
        <v>5</v>
      </c>
      <c r="J18" s="70">
        <f t="shared" si="4"/>
        <v>1107</v>
      </c>
      <c r="K18" s="70">
        <f t="shared" si="5"/>
        <v>2167.1092539112833</v>
      </c>
      <c r="L18" t="s">
        <v>255</v>
      </c>
    </row>
    <row r="19" spans="1:12" ht="16.350000000000001" customHeight="1">
      <c r="A19" s="141">
        <v>9</v>
      </c>
      <c r="B19" s="56"/>
      <c r="C19" s="189" t="s">
        <v>114</v>
      </c>
      <c r="D19" s="183">
        <f>'MORE Formula w 3-yr Avg ''19-''21'!K38</f>
        <v>5.2758792507097897E-2</v>
      </c>
      <c r="E19" s="70">
        <f t="shared" si="1"/>
        <v>48085.102114064124</v>
      </c>
      <c r="F19" s="328">
        <f t="shared" si="6"/>
        <v>1600</v>
      </c>
      <c r="G19" s="299"/>
      <c r="H19" s="190">
        <f t="shared" si="3"/>
        <v>46485.102114064124</v>
      </c>
      <c r="I19" s="161">
        <f t="shared" si="2"/>
        <v>53</v>
      </c>
      <c r="J19" s="70">
        <f t="shared" si="4"/>
        <v>10921</v>
      </c>
      <c r="K19" s="70">
        <f t="shared" si="5"/>
        <v>35564.102114064124</v>
      </c>
      <c r="L19" t="s">
        <v>255</v>
      </c>
    </row>
    <row r="20" spans="1:12" ht="16.350000000000001" customHeight="1">
      <c r="A20" s="141">
        <v>10</v>
      </c>
      <c r="B20" s="56"/>
      <c r="C20" s="189" t="s">
        <v>115</v>
      </c>
      <c r="D20" s="183">
        <f>'MORE Formula w 3-yr Avg ''19-''21'!K30</f>
        <v>0.16116170638222277</v>
      </c>
      <c r="E20" s="70">
        <f t="shared" si="1"/>
        <v>146885.0354606472</v>
      </c>
      <c r="F20" s="328">
        <f t="shared" si="6"/>
        <v>1600</v>
      </c>
      <c r="G20" s="299">
        <f>'MORE Formula w 3-yr Avg ''19-''21'!N30</f>
        <v>11155.466257633878</v>
      </c>
      <c r="H20" s="190">
        <f t="shared" si="3"/>
        <v>134129.56920301332</v>
      </c>
      <c r="I20" s="161">
        <f t="shared" si="2"/>
        <v>161</v>
      </c>
      <c r="J20" s="70">
        <f t="shared" si="4"/>
        <v>33360</v>
      </c>
      <c r="K20" s="70">
        <f t="shared" si="5"/>
        <v>100769.56920301332</v>
      </c>
      <c r="L20" t="s">
        <v>255</v>
      </c>
    </row>
    <row r="21" spans="1:12" ht="16.350000000000001" customHeight="1">
      <c r="A21" s="141">
        <v>11</v>
      </c>
      <c r="B21" s="56"/>
      <c r="C21" s="189" t="s">
        <v>116</v>
      </c>
      <c r="D21" s="183">
        <f>'MORE Formula w 3-yr Avg ''19-''21'!K40</f>
        <v>9.9014286725424786E-3</v>
      </c>
      <c r="E21" s="70">
        <f t="shared" si="1"/>
        <v>9024.3007121566297</v>
      </c>
      <c r="F21" s="328">
        <f t="shared" si="6"/>
        <v>1600</v>
      </c>
      <c r="G21" s="299"/>
      <c r="H21" s="190">
        <f t="shared" si="3"/>
        <v>7424.3007121566297</v>
      </c>
      <c r="I21" s="161">
        <f t="shared" si="2"/>
        <v>10</v>
      </c>
      <c r="J21" s="70">
        <f t="shared" si="4"/>
        <v>2050</v>
      </c>
      <c r="K21" s="70">
        <f t="shared" si="5"/>
        <v>5374.3007121566297</v>
      </c>
    </row>
    <row r="22" spans="1:12" ht="16.350000000000001" customHeight="1">
      <c r="A22" s="141">
        <v>12</v>
      </c>
      <c r="B22" s="56"/>
      <c r="C22" s="189" t="s">
        <v>117</v>
      </c>
      <c r="D22" s="183">
        <f>'MORE Formula w 3-yr Avg ''19-''21'!K42</f>
        <v>8.0634992657188428E-3</v>
      </c>
      <c r="E22" s="70">
        <f t="shared" si="1"/>
        <v>7349.1861197658736</v>
      </c>
      <c r="F22" s="328">
        <f t="shared" si="6"/>
        <v>1600</v>
      </c>
      <c r="G22" s="299"/>
      <c r="H22" s="190">
        <f t="shared" si="3"/>
        <v>5749.1861197658736</v>
      </c>
      <c r="I22" s="161">
        <f t="shared" si="2"/>
        <v>8</v>
      </c>
      <c r="J22" s="70">
        <f t="shared" si="4"/>
        <v>1669</v>
      </c>
      <c r="K22" s="70">
        <f t="shared" si="5"/>
        <v>4080.1861197658736</v>
      </c>
    </row>
    <row r="23" spans="1:12" ht="16.350000000000001" customHeight="1">
      <c r="A23" s="141">
        <v>13</v>
      </c>
      <c r="B23" s="56"/>
      <c r="C23" s="189" t="s">
        <v>118</v>
      </c>
      <c r="D23" s="183">
        <f>'MORE Formula w 3-yr Avg ''19-''21'!K43</f>
        <v>4.7966863834321048E-2</v>
      </c>
      <c r="E23" s="70">
        <f t="shared" si="1"/>
        <v>43717.67123469388</v>
      </c>
      <c r="F23" s="328">
        <f t="shared" si="6"/>
        <v>1600</v>
      </c>
      <c r="G23" s="299"/>
      <c r="H23" s="190">
        <f t="shared" si="3"/>
        <v>42117.67123469388</v>
      </c>
      <c r="I23" s="161">
        <f t="shared" si="2"/>
        <v>48</v>
      </c>
      <c r="J23" s="70">
        <f t="shared" si="4"/>
        <v>9929</v>
      </c>
      <c r="K23" s="70">
        <f t="shared" si="5"/>
        <v>32188.67123469388</v>
      </c>
      <c r="L23" t="s">
        <v>255</v>
      </c>
    </row>
    <row r="24" spans="1:12" ht="16.350000000000001" customHeight="1">
      <c r="A24" s="141">
        <v>14</v>
      </c>
      <c r="B24" s="56"/>
      <c r="C24" s="189" t="s">
        <v>119</v>
      </c>
      <c r="D24" s="183">
        <f>'MORE Formula w 3-yr Avg ''19-''21'!K45</f>
        <v>1.724728705026158E-2</v>
      </c>
      <c r="E24" s="70">
        <f t="shared" si="1"/>
        <v>15719.418879627108</v>
      </c>
      <c r="F24" s="328">
        <f t="shared" si="6"/>
        <v>1600</v>
      </c>
      <c r="G24" s="299"/>
      <c r="H24" s="190">
        <f t="shared" si="3"/>
        <v>14119.418879627108</v>
      </c>
      <c r="I24" s="161">
        <f t="shared" si="2"/>
        <v>17</v>
      </c>
      <c r="J24" s="70">
        <f t="shared" si="4"/>
        <v>3570</v>
      </c>
      <c r="K24" s="70">
        <f t="shared" si="5"/>
        <v>10549.418879627108</v>
      </c>
      <c r="L24" t="s">
        <v>255</v>
      </c>
    </row>
    <row r="25" spans="1:12" ht="16.350000000000001" customHeight="1">
      <c r="A25" s="141">
        <v>15</v>
      </c>
      <c r="B25" s="56"/>
      <c r="C25" s="189" t="s">
        <v>120</v>
      </c>
      <c r="D25" s="183">
        <f>'MORE Formula w 3-yr Avg ''19-''21'!K46</f>
        <v>1.9832387962945168E-2</v>
      </c>
      <c r="E25" s="70">
        <f t="shared" si="1"/>
        <v>18075.516042859708</v>
      </c>
      <c r="F25" s="328">
        <f t="shared" si="6"/>
        <v>1600</v>
      </c>
      <c r="G25" s="299"/>
      <c r="H25" s="190">
        <f t="shared" si="3"/>
        <v>16475.516042859708</v>
      </c>
      <c r="I25" s="161">
        <f t="shared" si="2"/>
        <v>20</v>
      </c>
      <c r="J25" s="70">
        <f t="shared" si="4"/>
        <v>4105</v>
      </c>
      <c r="K25" s="70">
        <f t="shared" si="5"/>
        <v>12370.516042859708</v>
      </c>
    </row>
    <row r="26" spans="1:12" ht="16.350000000000001" customHeight="1">
      <c r="A26" s="141">
        <v>16</v>
      </c>
      <c r="B26" s="56"/>
      <c r="C26" s="189" t="s">
        <v>121</v>
      </c>
      <c r="D26" s="183"/>
      <c r="E26" s="70">
        <f t="shared" si="1"/>
        <v>0</v>
      </c>
      <c r="F26" s="328">
        <f t="shared" si="6"/>
        <v>0</v>
      </c>
      <c r="G26" s="299"/>
      <c r="H26" s="190">
        <f t="shared" si="3"/>
        <v>0</v>
      </c>
      <c r="I26" s="161">
        <f t="shared" si="2"/>
        <v>0</v>
      </c>
      <c r="J26" s="70">
        <f t="shared" si="4"/>
        <v>0</v>
      </c>
      <c r="K26" s="70">
        <f t="shared" si="5"/>
        <v>0</v>
      </c>
    </row>
    <row r="27" spans="1:12" ht="16.350000000000001" customHeight="1">
      <c r="A27" s="141">
        <v>17</v>
      </c>
      <c r="B27" s="56"/>
      <c r="C27" s="189" t="s">
        <v>122</v>
      </c>
      <c r="D27" s="183">
        <f>'MORE Formula w 3-yr Avg ''19-''21'!K50</f>
        <v>1.6054578206685263E-2</v>
      </c>
      <c r="E27" s="70">
        <f t="shared" si="1"/>
        <v>14632.367341667841</v>
      </c>
      <c r="F27" s="328">
        <f t="shared" si="6"/>
        <v>1600</v>
      </c>
      <c r="G27" s="299"/>
      <c r="H27" s="190">
        <f t="shared" si="3"/>
        <v>13032.367341667841</v>
      </c>
      <c r="I27" s="161">
        <f t="shared" si="2"/>
        <v>16</v>
      </c>
      <c r="J27" s="70">
        <f t="shared" si="4"/>
        <v>3323</v>
      </c>
      <c r="K27" s="70">
        <f t="shared" si="5"/>
        <v>9709.3673416678412</v>
      </c>
      <c r="L27" t="s">
        <v>255</v>
      </c>
    </row>
    <row r="28" spans="1:12" ht="16.350000000000001" customHeight="1">
      <c r="A28" s="141">
        <v>18</v>
      </c>
      <c r="B28" s="56"/>
      <c r="C28" s="189" t="s">
        <v>123</v>
      </c>
      <c r="D28" s="183">
        <f>'MORE Formula w 3-yr Avg ''19-''21'!K52</f>
        <v>6.4205891217641128E-2</v>
      </c>
      <c r="E28" s="70">
        <f t="shared" si="1"/>
        <v>58518.14813823517</v>
      </c>
      <c r="F28" s="328">
        <f t="shared" si="6"/>
        <v>1600</v>
      </c>
      <c r="G28" s="299">
        <f>'MORE Formula w 3-yr Avg ''19-''21'!N52</f>
        <v>4444.2732029717063</v>
      </c>
      <c r="H28" s="190">
        <f t="shared" si="3"/>
        <v>52473.874935263462</v>
      </c>
      <c r="I28" s="161">
        <f t="shared" si="2"/>
        <v>64</v>
      </c>
      <c r="J28" s="70">
        <f t="shared" si="4"/>
        <v>13291</v>
      </c>
      <c r="K28" s="70">
        <f t="shared" si="5"/>
        <v>39182.874935263462</v>
      </c>
      <c r="L28" t="s">
        <v>255</v>
      </c>
    </row>
    <row r="29" spans="1:12" ht="16.350000000000001" customHeight="1">
      <c r="A29" s="141">
        <v>19</v>
      </c>
      <c r="B29" s="56"/>
      <c r="C29" s="189" t="s">
        <v>124</v>
      </c>
      <c r="D29" s="183">
        <f>'MORE Formula w 3-yr Avg ''19-''21'!K55</f>
        <v>1.380884502941109E-2</v>
      </c>
      <c r="E29" s="70">
        <f t="shared" si="1"/>
        <v>12585.574683635679</v>
      </c>
      <c r="F29" s="328">
        <f t="shared" si="6"/>
        <v>1600</v>
      </c>
      <c r="G29" s="299"/>
      <c r="H29" s="190">
        <f t="shared" si="3"/>
        <v>10985.574683635679</v>
      </c>
      <c r="I29" s="161">
        <f t="shared" si="2"/>
        <v>14</v>
      </c>
      <c r="J29" s="70">
        <f t="shared" si="4"/>
        <v>2858</v>
      </c>
      <c r="K29" s="70">
        <f t="shared" si="5"/>
        <v>8127.5746836356793</v>
      </c>
      <c r="L29" s="227" t="s">
        <v>255</v>
      </c>
    </row>
    <row r="30" spans="1:12" ht="16.350000000000001" customHeight="1">
      <c r="A30" s="141">
        <v>20</v>
      </c>
      <c r="B30" s="56"/>
      <c r="C30" s="189" t="s">
        <v>125</v>
      </c>
      <c r="D30" s="183">
        <f>'MORE Formula w 3-yr Avg ''19-''21'!K60</f>
        <v>8.3262280166815188E-3</v>
      </c>
      <c r="E30" s="70">
        <f t="shared" si="1"/>
        <v>7588.64078159577</v>
      </c>
      <c r="F30" s="328">
        <f t="shared" si="6"/>
        <v>1600</v>
      </c>
      <c r="G30" s="299"/>
      <c r="H30" s="190">
        <f t="shared" si="3"/>
        <v>5988.64078159577</v>
      </c>
      <c r="I30" s="161">
        <f t="shared" si="2"/>
        <v>8</v>
      </c>
      <c r="J30" s="70">
        <f t="shared" si="4"/>
        <v>1724</v>
      </c>
      <c r="K30" s="70">
        <f t="shared" si="5"/>
        <v>4264.64078159577</v>
      </c>
    </row>
    <row r="31" spans="1:12" ht="16.350000000000001" customHeight="1">
      <c r="A31" s="141">
        <v>21</v>
      </c>
      <c r="B31" s="56"/>
      <c r="C31" s="189" t="s">
        <v>126</v>
      </c>
      <c r="D31" s="183">
        <f>'MORE Formula w 3-yr Avg ''19-''21'!K16</f>
        <v>7.6287429472212858E-3</v>
      </c>
      <c r="E31" s="70">
        <f t="shared" si="1"/>
        <v>6952.9431244987409</v>
      </c>
      <c r="F31" s="328">
        <f t="shared" si="6"/>
        <v>1600</v>
      </c>
      <c r="G31" s="299"/>
      <c r="H31" s="190">
        <f t="shared" si="3"/>
        <v>5352.9431244987409</v>
      </c>
      <c r="I31" s="161">
        <f t="shared" si="2"/>
        <v>8</v>
      </c>
      <c r="J31" s="70">
        <f t="shared" si="4"/>
        <v>1579</v>
      </c>
      <c r="K31" s="70">
        <f t="shared" si="5"/>
        <v>3773.9431244987409</v>
      </c>
    </row>
    <row r="32" spans="1:12" ht="16.350000000000001" customHeight="1">
      <c r="A32" s="141">
        <v>22</v>
      </c>
      <c r="B32" s="56"/>
      <c r="C32" s="189" t="s">
        <v>127</v>
      </c>
      <c r="D32" s="183">
        <f>'MORE Formula w 3-yr Avg ''19-''21'!K24</f>
        <v>9.9853331264627612E-3</v>
      </c>
      <c r="E32" s="70">
        <f t="shared" si="1"/>
        <v>9100.7724061219305</v>
      </c>
      <c r="F32" s="328">
        <f t="shared" si="6"/>
        <v>1600</v>
      </c>
      <c r="G32" s="299"/>
      <c r="H32" s="190">
        <f t="shared" si="3"/>
        <v>7500.7724061219305</v>
      </c>
      <c r="I32" s="161">
        <f t="shared" si="2"/>
        <v>10</v>
      </c>
      <c r="J32" s="70">
        <f t="shared" si="4"/>
        <v>2067</v>
      </c>
      <c r="K32" s="70">
        <f t="shared" si="5"/>
        <v>5433.7724061219305</v>
      </c>
    </row>
    <row r="33" spans="1:12" ht="16.350000000000001" customHeight="1">
      <c r="A33" s="141">
        <v>23</v>
      </c>
      <c r="B33" s="56"/>
      <c r="C33" s="189" t="s">
        <v>128</v>
      </c>
      <c r="D33" s="183">
        <f>'MORE Formula w 3-yr Avg ''19-''21'!K23</f>
        <v>9.2608955089555113E-3</v>
      </c>
      <c r="E33" s="70">
        <f t="shared" si="1"/>
        <v>8440.509819399178</v>
      </c>
      <c r="F33" s="328">
        <f t="shared" si="6"/>
        <v>1600</v>
      </c>
      <c r="G33" s="299"/>
      <c r="H33" s="190">
        <f t="shared" si="3"/>
        <v>6840.509819399178</v>
      </c>
      <c r="I33" s="161">
        <f t="shared" si="2"/>
        <v>9</v>
      </c>
      <c r="J33" s="70">
        <f t="shared" si="4"/>
        <v>1917</v>
      </c>
      <c r="K33" s="70">
        <f t="shared" si="5"/>
        <v>4923.509819399178</v>
      </c>
    </row>
    <row r="34" spans="1:12" ht="16.350000000000001" customHeight="1">
      <c r="A34" s="141">
        <v>24</v>
      </c>
      <c r="B34" s="56"/>
      <c r="C34" s="189" t="s">
        <v>129</v>
      </c>
      <c r="D34" s="183">
        <f>'MORE Formula w 3-yr Avg ''19-''21'!K20</f>
        <v>4.2847520295268681E-3</v>
      </c>
      <c r="E34" s="70">
        <f t="shared" si="1"/>
        <v>3905.182986239201</v>
      </c>
      <c r="F34" s="328">
        <f t="shared" si="6"/>
        <v>1600</v>
      </c>
      <c r="G34" s="299"/>
      <c r="H34" s="190">
        <f t="shared" si="3"/>
        <v>2305.182986239201</v>
      </c>
      <c r="I34" s="161">
        <f t="shared" si="2"/>
        <v>4</v>
      </c>
      <c r="J34" s="70">
        <f t="shared" si="4"/>
        <v>887</v>
      </c>
      <c r="K34" s="70">
        <f t="shared" si="5"/>
        <v>1418.182986239201</v>
      </c>
    </row>
    <row r="35" spans="1:12" ht="16.350000000000001" customHeight="1">
      <c r="A35" s="141">
        <v>25</v>
      </c>
      <c r="B35" s="56"/>
      <c r="C35" s="189" t="s">
        <v>130</v>
      </c>
      <c r="D35" s="183">
        <f>'MORE Formula w 3-yr Avg ''19-''21'!K35</f>
        <v>1.061039787117057E-2</v>
      </c>
      <c r="E35" s="70">
        <f t="shared" si="1"/>
        <v>9670.4651653550536</v>
      </c>
      <c r="F35" s="328">
        <f t="shared" si="6"/>
        <v>1600</v>
      </c>
      <c r="G35" s="299"/>
      <c r="H35" s="190">
        <f t="shared" si="3"/>
        <v>8070.4651653550536</v>
      </c>
      <c r="I35" s="161">
        <f t="shared" si="2"/>
        <v>11</v>
      </c>
      <c r="J35" s="70">
        <f t="shared" si="4"/>
        <v>2196</v>
      </c>
      <c r="K35" s="70">
        <f t="shared" si="5"/>
        <v>5874.4651653550536</v>
      </c>
      <c r="L35" t="s">
        <v>255</v>
      </c>
    </row>
    <row r="36" spans="1:12" ht="16.350000000000001" customHeight="1">
      <c r="A36" s="141">
        <v>26</v>
      </c>
      <c r="B36" s="56"/>
      <c r="C36" s="189" t="s">
        <v>131</v>
      </c>
      <c r="D36" s="183">
        <f>'MORE Formula w 3-yr Avg ''19-''21'!K41</f>
        <v>5.8337501212864663E-2</v>
      </c>
      <c r="E36" s="70">
        <f t="shared" si="1"/>
        <v>53169.615330421831</v>
      </c>
      <c r="F36" s="328">
        <f t="shared" si="6"/>
        <v>1600</v>
      </c>
      <c r="G36" s="299"/>
      <c r="H36" s="190">
        <f t="shared" si="3"/>
        <v>51569.615330421831</v>
      </c>
      <c r="I36" s="161">
        <f t="shared" si="2"/>
        <v>58</v>
      </c>
      <c r="J36" s="70">
        <f t="shared" si="4"/>
        <v>12076</v>
      </c>
      <c r="K36" s="70">
        <f t="shared" si="5"/>
        <v>39493.615330421831</v>
      </c>
      <c r="L36" t="s">
        <v>255</v>
      </c>
    </row>
    <row r="37" spans="1:12" ht="16.350000000000001" customHeight="1">
      <c r="A37" s="141">
        <v>27</v>
      </c>
      <c r="B37" s="56"/>
      <c r="C37" s="189" t="s">
        <v>132</v>
      </c>
      <c r="D37" s="183">
        <f>'MORE Formula w 3-yr Avg ''19-''21'!K47</f>
        <v>5.9164358512950582E-3</v>
      </c>
      <c r="E37" s="70">
        <f t="shared" si="1"/>
        <v>5392.3224649722342</v>
      </c>
      <c r="F37" s="328">
        <f t="shared" si="6"/>
        <v>1600</v>
      </c>
      <c r="G37" s="299"/>
      <c r="H37" s="190">
        <f t="shared" si="3"/>
        <v>3792.3224649722342</v>
      </c>
      <c r="I37" s="161">
        <f t="shared" si="2"/>
        <v>6</v>
      </c>
      <c r="J37" s="70">
        <f t="shared" si="4"/>
        <v>1225</v>
      </c>
      <c r="K37" s="70">
        <f t="shared" si="5"/>
        <v>2567.3224649722342</v>
      </c>
      <c r="L37" t="s">
        <v>255</v>
      </c>
    </row>
    <row r="38" spans="1:12" ht="16.350000000000001" customHeight="1">
      <c r="A38" s="141">
        <v>28</v>
      </c>
      <c r="B38" s="56"/>
      <c r="C38" s="189" t="s">
        <v>133</v>
      </c>
      <c r="D38" s="183">
        <f>'MORE Formula w 3-yr Avg ''19-''21'!K57</f>
        <v>1.3508148341199571E-2</v>
      </c>
      <c r="E38" s="70">
        <f t="shared" si="1"/>
        <v>12311.515512246066</v>
      </c>
      <c r="F38" s="328">
        <f t="shared" si="6"/>
        <v>1600</v>
      </c>
      <c r="G38" s="299"/>
      <c r="H38" s="190">
        <f t="shared" si="3"/>
        <v>10711.515512246066</v>
      </c>
      <c r="I38" s="161">
        <f t="shared" si="2"/>
        <v>14</v>
      </c>
      <c r="J38" s="70">
        <f t="shared" si="4"/>
        <v>2796</v>
      </c>
      <c r="K38" s="70">
        <f t="shared" si="5"/>
        <v>7915.5155122460656</v>
      </c>
      <c r="L38" t="s">
        <v>255</v>
      </c>
    </row>
    <row r="39" spans="1:12" ht="16.350000000000001" customHeight="1">
      <c r="A39" s="141">
        <v>29</v>
      </c>
      <c r="B39" s="56"/>
      <c r="C39" s="189" t="s">
        <v>134</v>
      </c>
      <c r="D39" s="183">
        <f>'MORE Formula w 3-yr Avg ''19-''21'!K22</f>
        <v>6.3570045453714502E-2</v>
      </c>
      <c r="E39" s="70">
        <f t="shared" si="1"/>
        <v>57938.629407151748</v>
      </c>
      <c r="F39" s="328">
        <f t="shared" si="6"/>
        <v>1600</v>
      </c>
      <c r="G39" s="299">
        <f>'MORE Formula w 3-yr Avg ''19-''21'!N22</f>
        <v>4400.2605393944159</v>
      </c>
      <c r="H39" s="190">
        <f t="shared" si="3"/>
        <v>51938.36886775733</v>
      </c>
      <c r="I39" s="161">
        <f t="shared" si="2"/>
        <v>64</v>
      </c>
      <c r="J39" s="70">
        <f t="shared" si="4"/>
        <v>13159</v>
      </c>
      <c r="K39" s="70">
        <f t="shared" si="5"/>
        <v>38779.36886775733</v>
      </c>
      <c r="L39" t="s">
        <v>255</v>
      </c>
    </row>
    <row r="40" spans="1:12" ht="16.350000000000001" customHeight="1">
      <c r="A40" s="141">
        <v>30</v>
      </c>
      <c r="B40" s="56"/>
      <c r="C40" s="189" t="s">
        <v>135</v>
      </c>
      <c r="D40" s="183">
        <f>'MORE Formula w 3-yr Avg ''19-''21'!K53</f>
        <v>1.9910667537273032E-2</v>
      </c>
      <c r="E40" s="70">
        <f t="shared" si="1"/>
        <v>18146.861142816164</v>
      </c>
      <c r="F40" s="328">
        <f t="shared" si="6"/>
        <v>1600</v>
      </c>
      <c r="G40" s="299"/>
      <c r="H40" s="190">
        <f t="shared" si="3"/>
        <v>16546.861142816164</v>
      </c>
      <c r="I40" s="161">
        <f t="shared" si="2"/>
        <v>20</v>
      </c>
      <c r="J40" s="70">
        <f t="shared" si="4"/>
        <v>4122</v>
      </c>
      <c r="K40" s="70">
        <f t="shared" si="5"/>
        <v>12424.861142816164</v>
      </c>
      <c r="L40" t="s">
        <v>255</v>
      </c>
    </row>
    <row r="41" spans="1:12" ht="16.350000000000001" customHeight="1">
      <c r="A41" s="141">
        <v>31</v>
      </c>
      <c r="B41" s="56"/>
      <c r="C41" s="189" t="s">
        <v>136</v>
      </c>
      <c r="D41" s="183">
        <f>'MORE Formula w 3-yr Avg ''19-''21'!K34</f>
        <v>8.5922379474064389E-3</v>
      </c>
      <c r="E41" s="70">
        <f t="shared" si="1"/>
        <v>7831.0859565974924</v>
      </c>
      <c r="F41" s="328">
        <f t="shared" si="6"/>
        <v>1600</v>
      </c>
      <c r="G41" s="299"/>
      <c r="H41" s="190">
        <f t="shared" si="3"/>
        <v>6231.0859565974924</v>
      </c>
      <c r="I41" s="161">
        <f t="shared" si="2"/>
        <v>9</v>
      </c>
      <c r="J41" s="70">
        <f t="shared" si="4"/>
        <v>1779</v>
      </c>
      <c r="K41" s="70">
        <f t="shared" si="5"/>
        <v>4452.0859565974924</v>
      </c>
      <c r="L41" t="s">
        <v>255</v>
      </c>
    </row>
    <row r="42" spans="1:12" ht="16.350000000000001" customHeight="1">
      <c r="A42" s="141">
        <v>32</v>
      </c>
      <c r="B42" s="56"/>
      <c r="C42" s="189" t="s">
        <v>137</v>
      </c>
      <c r="D42" s="183">
        <f>'MORE Formula w 3-yr Avg ''19-''21'!K56</f>
        <v>8.4098981006187831E-3</v>
      </c>
      <c r="E42" s="70">
        <f t="shared" si="1"/>
        <v>7664.8988674773673</v>
      </c>
      <c r="F42" s="328">
        <f t="shared" si="6"/>
        <v>1600</v>
      </c>
      <c r="G42" s="299"/>
      <c r="H42" s="190">
        <f t="shared" si="3"/>
        <v>6064.8988674773673</v>
      </c>
      <c r="I42" s="161">
        <f t="shared" si="2"/>
        <v>8</v>
      </c>
      <c r="J42" s="70">
        <f t="shared" si="4"/>
        <v>1741</v>
      </c>
      <c r="K42" s="70">
        <f t="shared" si="5"/>
        <v>4323.8988674773673</v>
      </c>
      <c r="L42" t="s">
        <v>255</v>
      </c>
    </row>
    <row r="43" spans="1:12" ht="16.350000000000001" customHeight="1">
      <c r="A43" s="141">
        <v>33</v>
      </c>
      <c r="B43" s="56"/>
      <c r="C43" s="189" t="s">
        <v>138</v>
      </c>
      <c r="D43" s="183">
        <f>'MORE Formula w 3-yr Avg ''19-''21'!K32</f>
        <v>4.4122493002884157E-3</v>
      </c>
      <c r="E43" s="70">
        <f t="shared" si="1"/>
        <v>4021.3857837730661</v>
      </c>
      <c r="F43" s="328">
        <f t="shared" si="6"/>
        <v>1600</v>
      </c>
      <c r="G43" s="299"/>
      <c r="H43" s="190">
        <f t="shared" si="3"/>
        <v>2421.3857837730661</v>
      </c>
      <c r="I43" s="161">
        <f t="shared" si="2"/>
        <v>4</v>
      </c>
      <c r="J43" s="70">
        <f t="shared" si="4"/>
        <v>913</v>
      </c>
      <c r="K43" s="70">
        <f t="shared" si="5"/>
        <v>1508.3857837730661</v>
      </c>
    </row>
    <row r="44" spans="1:12" ht="16.350000000000001" customHeight="1">
      <c r="A44" s="141">
        <v>34</v>
      </c>
      <c r="B44" s="56"/>
      <c r="C44" s="189" t="s">
        <v>139</v>
      </c>
      <c r="D44" s="183">
        <f>'MORE Formula w 3-yr Avg ''19-''21'!K37</f>
        <v>1.4989835373836529E-2</v>
      </c>
      <c r="E44" s="70">
        <f t="shared" si="1"/>
        <v>13661.945817409847</v>
      </c>
      <c r="F44" s="328">
        <f t="shared" si="6"/>
        <v>1600</v>
      </c>
      <c r="G44" s="299"/>
      <c r="H44" s="190">
        <f t="shared" si="3"/>
        <v>12061.945817409847</v>
      </c>
      <c r="I44" s="161">
        <f t="shared" si="2"/>
        <v>15</v>
      </c>
      <c r="J44" s="70">
        <f t="shared" si="4"/>
        <v>3103</v>
      </c>
      <c r="K44" s="70">
        <f t="shared" si="5"/>
        <v>8958.9458174098472</v>
      </c>
    </row>
    <row r="45" spans="1:12" ht="16.350000000000001" customHeight="1">
      <c r="A45" s="141">
        <v>35</v>
      </c>
      <c r="B45" s="56"/>
      <c r="C45" s="189" t="s">
        <v>140</v>
      </c>
      <c r="D45" s="183">
        <f>'MORE Formula w 3-yr Avg ''19-''21'!K51</f>
        <v>3.208267260528954E-2</v>
      </c>
      <c r="E45" s="70">
        <f t="shared" si="1"/>
        <v>29240.596969877362</v>
      </c>
      <c r="F45" s="328">
        <f t="shared" si="6"/>
        <v>1600</v>
      </c>
      <c r="G45" s="299"/>
      <c r="H45" s="190">
        <f t="shared" si="3"/>
        <v>27640.596969877362</v>
      </c>
      <c r="I45" s="161">
        <f t="shared" si="2"/>
        <v>32</v>
      </c>
      <c r="J45" s="70">
        <f t="shared" si="4"/>
        <v>6641</v>
      </c>
      <c r="K45" s="70">
        <f t="shared" si="5"/>
        <v>20999.596969877362</v>
      </c>
      <c r="L45" t="s">
        <v>255</v>
      </c>
    </row>
    <row r="46" spans="1:12" ht="17.100000000000001" customHeight="1">
      <c r="A46" s="142">
        <v>36</v>
      </c>
      <c r="B46" s="58"/>
      <c r="C46" s="158" t="s">
        <v>141</v>
      </c>
      <c r="D46" s="183">
        <f>'MORE Formula w 3-yr Avg ''19-''21'!K21</f>
        <v>1.0147517154710907E-2</v>
      </c>
      <c r="E46" s="70">
        <f t="shared" si="1"/>
        <v>9248.589200043687</v>
      </c>
      <c r="F46" s="328">
        <f t="shared" si="6"/>
        <v>1600</v>
      </c>
      <c r="G46" s="300"/>
      <c r="H46" s="190">
        <f t="shared" si="3"/>
        <v>7648.589200043687</v>
      </c>
      <c r="I46" s="161">
        <f t="shared" si="2"/>
        <v>10</v>
      </c>
      <c r="J46" s="70">
        <f t="shared" si="4"/>
        <v>2101</v>
      </c>
      <c r="K46" s="70">
        <f t="shared" si="5"/>
        <v>5547.589200043687</v>
      </c>
    </row>
    <row r="47" spans="1:12" ht="17.100000000000001" customHeight="1">
      <c r="A47" s="142">
        <v>37</v>
      </c>
      <c r="B47" s="58"/>
      <c r="C47" s="158" t="s">
        <v>142</v>
      </c>
      <c r="D47" s="183">
        <f>'MORE Formula w 3-yr Avg ''19-''21'!K11</f>
        <v>7.8647535201199596E-3</v>
      </c>
      <c r="E47" s="70">
        <f t="shared" si="1"/>
        <v>7168.0464647866129</v>
      </c>
      <c r="F47" s="328">
        <f t="shared" si="6"/>
        <v>1600</v>
      </c>
      <c r="G47" s="300"/>
      <c r="H47" s="190">
        <f t="shared" si="3"/>
        <v>5568.0464647866129</v>
      </c>
      <c r="I47" s="161">
        <f t="shared" si="2"/>
        <v>8</v>
      </c>
      <c r="J47" s="70">
        <f t="shared" si="4"/>
        <v>1628</v>
      </c>
      <c r="K47" s="70">
        <f t="shared" si="5"/>
        <v>3940.0464647866129</v>
      </c>
    </row>
    <row r="48" spans="1:12" ht="17.100000000000001" customHeight="1">
      <c r="A48" s="142">
        <v>38</v>
      </c>
      <c r="B48" s="58"/>
      <c r="C48" s="158" t="s">
        <v>143</v>
      </c>
      <c r="D48" s="183">
        <f>'MORE Formula w 3-yr Avg ''19-''21'!K18</f>
        <v>7.9999850003210863E-3</v>
      </c>
      <c r="E48" s="70">
        <f t="shared" si="1"/>
        <v>7291.2983290826423</v>
      </c>
      <c r="F48" s="328">
        <f t="shared" si="6"/>
        <v>1600</v>
      </c>
      <c r="G48" s="300"/>
      <c r="H48" s="190">
        <f t="shared" si="3"/>
        <v>5691.2983290826423</v>
      </c>
      <c r="I48" s="161">
        <f t="shared" si="2"/>
        <v>8</v>
      </c>
      <c r="J48" s="70">
        <f t="shared" si="4"/>
        <v>1656</v>
      </c>
      <c r="K48" s="70">
        <f t="shared" si="5"/>
        <v>4035.2983290826423</v>
      </c>
    </row>
    <row r="49" spans="1:12" ht="17.100000000000001" customHeight="1">
      <c r="A49" s="142">
        <v>39</v>
      </c>
      <c r="B49" s="58"/>
      <c r="C49" s="158" t="s">
        <v>144</v>
      </c>
      <c r="D49" s="183">
        <f>'MORE Formula w 3-yr Avg ''19-''21'!K49</f>
        <v>8.3848205124359056E-3</v>
      </c>
      <c r="E49" s="70">
        <f t="shared" si="1"/>
        <v>7642.0428025212586</v>
      </c>
      <c r="F49" s="328">
        <f t="shared" si="6"/>
        <v>1600</v>
      </c>
      <c r="G49" s="300"/>
      <c r="H49" s="190">
        <f t="shared" si="3"/>
        <v>6042.0428025212586</v>
      </c>
      <c r="I49" s="161">
        <f t="shared" si="2"/>
        <v>8</v>
      </c>
      <c r="J49" s="70">
        <f t="shared" si="4"/>
        <v>1736</v>
      </c>
      <c r="K49" s="70">
        <f t="shared" si="5"/>
        <v>4306.0428025212586</v>
      </c>
    </row>
    <row r="50" spans="1:12" ht="17.100000000000001" customHeight="1">
      <c r="A50" s="142">
        <v>40</v>
      </c>
      <c r="B50" s="58"/>
      <c r="C50" s="158" t="s">
        <v>145</v>
      </c>
      <c r="D50" s="183">
        <f>'MORE Formula w 3-yr Avg ''19-''21'!K48</f>
        <v>1.4426644304645353E-2</v>
      </c>
      <c r="E50" s="70">
        <f t="shared" si="1"/>
        <v>13148.645592274041</v>
      </c>
      <c r="F50" s="328">
        <f t="shared" si="6"/>
        <v>1600</v>
      </c>
      <c r="G50" s="300"/>
      <c r="H50" s="190">
        <f t="shared" si="3"/>
        <v>11548.645592274041</v>
      </c>
      <c r="I50" s="161">
        <f t="shared" si="2"/>
        <v>14</v>
      </c>
      <c r="J50" s="70">
        <f t="shared" si="4"/>
        <v>2986</v>
      </c>
      <c r="K50" s="70">
        <f t="shared" si="5"/>
        <v>8562.6455922740406</v>
      </c>
    </row>
    <row r="51" spans="1:12" ht="17.100000000000001" customHeight="1">
      <c r="A51" s="142">
        <v>41</v>
      </c>
      <c r="B51" s="58"/>
      <c r="C51" s="158" t="s">
        <v>146</v>
      </c>
      <c r="D51" s="183">
        <f>'MORE Formula w 3-yr Avg ''19-''21'!K58</f>
        <v>1.1091793816288621E-2</v>
      </c>
      <c r="E51" s="70">
        <f t="shared" si="1"/>
        <v>10109.216169278878</v>
      </c>
      <c r="F51" s="328">
        <f t="shared" si="6"/>
        <v>1600</v>
      </c>
      <c r="G51" s="300"/>
      <c r="H51" s="190">
        <f t="shared" si="3"/>
        <v>8509.2161692788777</v>
      </c>
      <c r="I51" s="161">
        <f t="shared" si="2"/>
        <v>11</v>
      </c>
      <c r="J51" s="70">
        <f t="shared" si="4"/>
        <v>2296</v>
      </c>
      <c r="K51" s="70">
        <f t="shared" si="5"/>
        <v>6213.2161692788777</v>
      </c>
      <c r="L51" t="s">
        <v>255</v>
      </c>
    </row>
    <row r="52" spans="1:12" ht="17.100000000000001" customHeight="1">
      <c r="A52" s="142">
        <v>42</v>
      </c>
      <c r="B52" s="58"/>
      <c r="C52" s="158" t="s">
        <v>147</v>
      </c>
      <c r="D52" s="183">
        <f>'MORE Formula w 3-yr Avg ''19-''21'!K14</f>
        <v>1.7803915759928263E-2</v>
      </c>
      <c r="E52" s="70">
        <f t="shared" si="1"/>
        <v>16226.738078419257</v>
      </c>
      <c r="F52" s="328">
        <f t="shared" si="6"/>
        <v>1600</v>
      </c>
      <c r="G52" s="300"/>
      <c r="H52" s="190">
        <f t="shared" si="3"/>
        <v>14626.738078419257</v>
      </c>
      <c r="I52" s="161">
        <f t="shared" si="2"/>
        <v>18</v>
      </c>
      <c r="J52" s="70">
        <f t="shared" si="4"/>
        <v>3685</v>
      </c>
      <c r="K52" s="70">
        <f t="shared" si="5"/>
        <v>10941.738078419257</v>
      </c>
      <c r="L52" t="s">
        <v>255</v>
      </c>
    </row>
    <row r="53" spans="1:12" ht="17.100000000000001" customHeight="1">
      <c r="A53" s="142">
        <v>43</v>
      </c>
      <c r="B53" s="58"/>
      <c r="C53" s="158" t="s">
        <v>148</v>
      </c>
      <c r="D53" s="183">
        <f>'MORE Formula w 3-yr Avg ''19-''21'!K17</f>
        <v>7.1325816931731307E-3</v>
      </c>
      <c r="E53" s="70">
        <f t="shared" si="1"/>
        <v>6500.734811301696</v>
      </c>
      <c r="F53" s="328">
        <f t="shared" si="6"/>
        <v>1600</v>
      </c>
      <c r="G53" s="300"/>
      <c r="H53" s="190">
        <f t="shared" si="3"/>
        <v>4900.734811301696</v>
      </c>
      <c r="I53" s="161">
        <f t="shared" si="2"/>
        <v>7</v>
      </c>
      <c r="J53" s="70">
        <f t="shared" si="4"/>
        <v>1476</v>
      </c>
      <c r="K53" s="70">
        <f t="shared" si="5"/>
        <v>3424.734811301696</v>
      </c>
    </row>
    <row r="54" spans="1:12" ht="17.100000000000001" customHeight="1">
      <c r="A54" s="142">
        <v>44</v>
      </c>
      <c r="B54" s="58"/>
      <c r="C54" s="158" t="s">
        <v>149</v>
      </c>
      <c r="D54" s="183">
        <f>'MORE Formula w 3-yr Avg ''19-''21'!K19</f>
        <v>7.0704736476734798E-3</v>
      </c>
      <c r="E54" s="70">
        <f t="shared" si="1"/>
        <v>6444.1286691206769</v>
      </c>
      <c r="F54" s="328">
        <f t="shared" si="6"/>
        <v>1600</v>
      </c>
      <c r="G54" s="300"/>
      <c r="H54" s="190">
        <f t="shared" si="3"/>
        <v>4844.1286691206769</v>
      </c>
      <c r="I54" s="161">
        <f t="shared" si="2"/>
        <v>7</v>
      </c>
      <c r="J54" s="70">
        <f t="shared" si="4"/>
        <v>1464</v>
      </c>
      <c r="K54" s="70">
        <f t="shared" si="5"/>
        <v>3380.1286691206769</v>
      </c>
    </row>
    <row r="55" spans="1:12" ht="17.100000000000001" customHeight="1">
      <c r="A55" s="142">
        <v>45</v>
      </c>
      <c r="B55" s="58"/>
      <c r="C55" s="158" t="s">
        <v>150</v>
      </c>
      <c r="D55" s="183">
        <f>'MORE Formula w 3-yr Avg ''19-''21'!K25</f>
        <v>1.8996155863538547E-2</v>
      </c>
      <c r="E55" s="70">
        <f t="shared" si="1"/>
        <v>17313.362400211121</v>
      </c>
      <c r="F55" s="328">
        <f t="shared" si="6"/>
        <v>1600</v>
      </c>
      <c r="G55" s="300"/>
      <c r="H55" s="190">
        <f t="shared" si="3"/>
        <v>15713.362400211121</v>
      </c>
      <c r="I55" s="161">
        <f t="shared" si="2"/>
        <v>19</v>
      </c>
      <c r="J55" s="70">
        <f t="shared" si="4"/>
        <v>3932</v>
      </c>
      <c r="K55" s="70">
        <f t="shared" si="5"/>
        <v>11781.362400211121</v>
      </c>
    </row>
    <row r="56" spans="1:12" ht="17.100000000000001" customHeight="1">
      <c r="A56" s="142">
        <v>46</v>
      </c>
      <c r="B56" s="58"/>
      <c r="C56" s="158" t="s">
        <v>151</v>
      </c>
      <c r="D56" s="183">
        <f>'MORE Formula w 3-yr Avg ''19-''21'!K39</f>
        <v>2.6056317231959253E-2</v>
      </c>
      <c r="E56" s="70">
        <f t="shared" si="1"/>
        <v>23748.092313648911</v>
      </c>
      <c r="F56" s="328">
        <f t="shared" si="6"/>
        <v>1600</v>
      </c>
      <c r="G56" s="300"/>
      <c r="H56" s="190">
        <f t="shared" si="3"/>
        <v>22148.092313648911</v>
      </c>
      <c r="I56" s="161">
        <f t="shared" si="2"/>
        <v>26</v>
      </c>
      <c r="J56" s="70">
        <f t="shared" si="4"/>
        <v>5394</v>
      </c>
      <c r="K56" s="70">
        <f t="shared" si="5"/>
        <v>16754.092313648911</v>
      </c>
      <c r="L56" s="235" t="s">
        <v>255</v>
      </c>
    </row>
    <row r="57" spans="1:12" ht="17.100000000000001" customHeight="1">
      <c r="A57" s="142">
        <v>47</v>
      </c>
      <c r="B57" s="58"/>
      <c r="C57" s="158" t="s">
        <v>152</v>
      </c>
      <c r="D57" s="183">
        <f>'MORE Formula w 3-yr Avg ''19-''21'!K59</f>
        <v>6.5593127147122003E-3</v>
      </c>
      <c r="E57" s="70">
        <f t="shared" si="1"/>
        <v>5978.2494385667051</v>
      </c>
      <c r="F57" s="328">
        <f t="shared" si="6"/>
        <v>1600</v>
      </c>
      <c r="G57" s="300"/>
      <c r="H57" s="190">
        <f t="shared" si="3"/>
        <v>4378.2494385667051</v>
      </c>
      <c r="I57" s="161">
        <f t="shared" si="2"/>
        <v>7</v>
      </c>
      <c r="J57" s="70">
        <f t="shared" si="4"/>
        <v>1358</v>
      </c>
      <c r="K57" s="70">
        <f t="shared" si="5"/>
        <v>3020.2494385667051</v>
      </c>
    </row>
    <row r="58" spans="1:12" ht="17.100000000000001" customHeight="1">
      <c r="A58" s="142">
        <v>48</v>
      </c>
      <c r="B58" s="58"/>
      <c r="C58" s="158" t="s">
        <v>153</v>
      </c>
      <c r="D58" s="183">
        <f>'MORE Formula w 3-yr Avg ''19-''21'!K54</f>
        <v>3.5143778953481775E-3</v>
      </c>
      <c r="E58" s="70">
        <f t="shared" si="1"/>
        <v>3203.0532151108637</v>
      </c>
      <c r="F58" s="328">
        <f t="shared" si="6"/>
        <v>1600</v>
      </c>
      <c r="G58" s="300"/>
      <c r="H58" s="190">
        <f t="shared" si="3"/>
        <v>1603.0532151108637</v>
      </c>
      <c r="I58" s="161">
        <f>ROUND(D58*1000,0)</f>
        <v>4</v>
      </c>
      <c r="J58" s="70">
        <f t="shared" si="4"/>
        <v>727</v>
      </c>
      <c r="K58" s="70">
        <f t="shared" si="5"/>
        <v>876.05321511086368</v>
      </c>
    </row>
    <row r="59" spans="1:12" ht="17.100000000000001" customHeight="1">
      <c r="A59" s="142">
        <v>49</v>
      </c>
      <c r="B59" s="58"/>
      <c r="C59" s="158" t="s">
        <v>154</v>
      </c>
      <c r="D59" s="183">
        <f>'MORE Formula w 3-yr Avg ''19-''21'!K15</f>
        <v>1.7352753542619479E-2</v>
      </c>
      <c r="E59" s="70">
        <f t="shared" si="1"/>
        <v>15815.54251729299</v>
      </c>
      <c r="F59" s="328">
        <f t="shared" si="6"/>
        <v>1600</v>
      </c>
      <c r="G59" s="300"/>
      <c r="H59" s="190">
        <f t="shared" si="3"/>
        <v>14215.54251729299</v>
      </c>
      <c r="I59" s="161">
        <f>ROUND(D59*1000,0)</f>
        <v>17</v>
      </c>
      <c r="J59" s="70">
        <f t="shared" si="4"/>
        <v>3592</v>
      </c>
      <c r="K59" s="70">
        <f t="shared" si="5"/>
        <v>10623.54251729299</v>
      </c>
    </row>
    <row r="60" spans="1:12" ht="17.100000000000001" customHeight="1">
      <c r="A60" s="142">
        <v>50</v>
      </c>
      <c r="B60" s="58"/>
      <c r="C60" s="158" t="s">
        <v>155</v>
      </c>
      <c r="D60" s="183">
        <f>'MORE Formula w 3-yr Avg ''19-''21'!K10</f>
        <v>2.4172685678447197E-2</v>
      </c>
      <c r="E60" s="70">
        <f t="shared" si="1"/>
        <v>22031.324144936272</v>
      </c>
      <c r="F60" s="328">
        <f t="shared" si="6"/>
        <v>1600</v>
      </c>
      <c r="G60" s="300"/>
      <c r="H60" s="190">
        <f t="shared" si="3"/>
        <v>20431.324144936272</v>
      </c>
      <c r="I60" s="161">
        <f>ROUND(D60*1000,0)</f>
        <v>24</v>
      </c>
      <c r="J60" s="70">
        <f t="shared" si="4"/>
        <v>5004</v>
      </c>
      <c r="K60" s="70">
        <f t="shared" si="5"/>
        <v>15427.324144936272</v>
      </c>
      <c r="L60" t="s">
        <v>255</v>
      </c>
    </row>
    <row r="61" spans="1:12" ht="17.100000000000001" customHeight="1">
      <c r="A61" s="142">
        <v>51</v>
      </c>
      <c r="B61" s="58"/>
      <c r="C61" s="158" t="s">
        <v>156</v>
      </c>
      <c r="D61" s="183">
        <f>'MORE Formula w 3-yr Avg ''19-''21'!K44</f>
        <v>6.1658055132257326E-3</v>
      </c>
      <c r="E61" s="70">
        <f t="shared" si="1"/>
        <v>5619.6014660311175</v>
      </c>
      <c r="F61" s="328">
        <f t="shared" si="6"/>
        <v>1600</v>
      </c>
      <c r="G61" s="300"/>
      <c r="H61" s="190">
        <f t="shared" si="3"/>
        <v>4019.6014660311175</v>
      </c>
      <c r="I61" s="161"/>
      <c r="J61" s="70">
        <f t="shared" si="4"/>
        <v>1276</v>
      </c>
      <c r="K61" s="70">
        <f t="shared" si="5"/>
        <v>2743.6014660311175</v>
      </c>
    </row>
    <row r="62" spans="1:12" s="235" customFormat="1" ht="17.100000000000001" customHeight="1">
      <c r="A62" s="142">
        <v>52</v>
      </c>
      <c r="B62" s="58"/>
      <c r="C62" s="158" t="s">
        <v>340</v>
      </c>
      <c r="D62" s="183">
        <f>'MORE Formula w 3-yr Avg ''19-''21'!K33</f>
        <v>3.1325891930125871E-3</v>
      </c>
      <c r="E62" s="70">
        <f t="shared" si="1"/>
        <v>2855.0856467603739</v>
      </c>
      <c r="F62" s="328">
        <f t="shared" si="6"/>
        <v>1427.542823380187</v>
      </c>
      <c r="G62" s="300"/>
      <c r="H62" s="190">
        <f t="shared" si="3"/>
        <v>1427.542823380187</v>
      </c>
      <c r="I62" s="161"/>
      <c r="J62" s="70">
        <f t="shared" si="4"/>
        <v>648</v>
      </c>
      <c r="K62" s="70">
        <f t="shared" si="5"/>
        <v>779.54282338018697</v>
      </c>
    </row>
    <row r="63" spans="1:12" s="235" customFormat="1" ht="17.100000000000001" customHeight="1" thickBot="1">
      <c r="A63" s="142">
        <v>53</v>
      </c>
      <c r="B63" s="58"/>
      <c r="C63" s="158" t="s">
        <v>369</v>
      </c>
      <c r="D63" s="183">
        <f>'MORE Formula w 3-yr Avg ''19-''21'!K29</f>
        <v>1.2386453602477572E-2</v>
      </c>
      <c r="E63" s="70">
        <f>($D$6*D63)</f>
        <v>11289.187223648494</v>
      </c>
      <c r="F63" s="328">
        <f>IF(E63&lt;($E$7*2),E63/2,$E$7)</f>
        <v>1600</v>
      </c>
      <c r="G63" s="300"/>
      <c r="H63" s="190">
        <f>E63-F63-G63</f>
        <v>9689.1872236484942</v>
      </c>
      <c r="I63" s="161"/>
      <c r="J63" s="70">
        <f>ROUND($J$9*D63,0)</f>
        <v>2564</v>
      </c>
      <c r="K63" s="70">
        <f>H63-J63</f>
        <v>7125.1872236484942</v>
      </c>
    </row>
    <row r="64" spans="1:12" ht="17.100000000000001" customHeight="1" thickBot="1">
      <c r="A64" s="141"/>
      <c r="B64" s="56"/>
      <c r="C64" s="56" t="s">
        <v>157</v>
      </c>
      <c r="D64" s="56"/>
      <c r="E64" s="71"/>
      <c r="F64" s="68"/>
      <c r="G64" s="301"/>
      <c r="H64" s="342">
        <f>SUM(E11:E61)-SUM(H11:H61)</f>
        <v>98276.132082953816</v>
      </c>
      <c r="I64" s="162"/>
      <c r="J64" s="6"/>
      <c r="K64" s="6"/>
    </row>
    <row r="65" spans="1:11" ht="5.25" customHeight="1" thickBot="1">
      <c r="A65" s="142"/>
      <c r="B65" s="58"/>
      <c r="C65" s="58"/>
      <c r="D65" s="58"/>
      <c r="E65" s="72"/>
      <c r="F65" s="69"/>
      <c r="G65" s="302"/>
      <c r="H65" s="341"/>
      <c r="I65" s="163"/>
      <c r="J65" s="16"/>
      <c r="K65" s="16"/>
    </row>
    <row r="66" spans="1:11" ht="18.75" customHeight="1" thickBot="1">
      <c r="A66" s="59"/>
      <c r="B66" s="60"/>
      <c r="C66" s="61" t="s">
        <v>158</v>
      </c>
      <c r="D66" s="77">
        <f>SUM(D11:D64)</f>
        <v>0.99999999999999989</v>
      </c>
      <c r="E66" s="73">
        <f>SUM(E11:E65)</f>
        <v>911414.00000000023</v>
      </c>
      <c r="F66" s="138">
        <f>SUM(F11:F65)</f>
        <v>81303.674906334039</v>
      </c>
      <c r="G66" s="138">
        <f>SUM(G11:G65)</f>
        <v>20000</v>
      </c>
      <c r="H66" s="139">
        <f>SUM(H11:H65)-H64</f>
        <v>810110.32509366621</v>
      </c>
      <c r="I66" s="164">
        <f>SUM(I11:I64)</f>
        <v>977</v>
      </c>
      <c r="J66" s="73">
        <f>SUM(J11:J65)</f>
        <v>206999</v>
      </c>
      <c r="K66" s="73">
        <f>SUM(K11:K65)</f>
        <v>603111.32509366632</v>
      </c>
    </row>
    <row r="67" spans="1:11" ht="13.5" customHeight="1">
      <c r="A67" s="29"/>
      <c r="B67" s="31"/>
      <c r="C67" s="29"/>
      <c r="D67" s="29"/>
      <c r="E67" s="131" t="s">
        <v>159</v>
      </c>
      <c r="F67" s="29"/>
      <c r="G67" s="29"/>
      <c r="H67" s="29"/>
    </row>
    <row r="68" spans="1:11" ht="27" hidden="1" customHeight="1">
      <c r="A68" s="29"/>
      <c r="B68" s="29"/>
      <c r="C68" s="29"/>
      <c r="D68" s="29"/>
      <c r="E68" s="53"/>
      <c r="F68" s="52" t="s">
        <v>160</v>
      </c>
      <c r="G68" s="52"/>
      <c r="H68" s="45">
        <v>0</v>
      </c>
    </row>
    <row r="69" spans="1:11">
      <c r="A69" s="29"/>
      <c r="B69" s="29"/>
      <c r="C69" s="29" t="s">
        <v>161</v>
      </c>
      <c r="D69" s="29"/>
      <c r="E69" s="54"/>
      <c r="F69" s="29"/>
      <c r="G69" s="29"/>
      <c r="H69" s="29"/>
    </row>
    <row r="70" spans="1:11">
      <c r="A70" s="29"/>
      <c r="B70" s="29"/>
      <c r="C70" s="29"/>
      <c r="D70" s="29"/>
      <c r="E70" s="29"/>
      <c r="F70" s="29"/>
      <c r="G70" s="29"/>
      <c r="H70" s="29"/>
    </row>
    <row r="71" spans="1:11">
      <c r="F71" s="55"/>
      <c r="G71" s="55"/>
    </row>
    <row r="72" spans="1:11" ht="15.75" thickBot="1">
      <c r="A72" s="208" t="s">
        <v>255</v>
      </c>
      <c r="B72" s="147" t="s">
        <v>314</v>
      </c>
      <c r="C72" s="147"/>
      <c r="D72" s="146"/>
      <c r="E72" s="146"/>
      <c r="F72" s="146"/>
      <c r="G72" s="146"/>
      <c r="H72" s="282">
        <v>372</v>
      </c>
      <c r="J72" s="312" t="s">
        <v>370</v>
      </c>
    </row>
    <row r="73" spans="1:11" ht="19.5" customHeight="1">
      <c r="C73" s="127" t="s">
        <v>162</v>
      </c>
      <c r="D73" s="283">
        <f>$H$72*F73</f>
        <v>744</v>
      </c>
      <c r="E73" s="127" t="s">
        <v>371</v>
      </c>
      <c r="F73" s="281">
        <v>2</v>
      </c>
      <c r="G73" s="281" t="s">
        <v>351</v>
      </c>
      <c r="H73" s="222"/>
    </row>
    <row r="74" spans="1:11" ht="14.25" customHeight="1">
      <c r="C74" s="127" t="s">
        <v>163</v>
      </c>
      <c r="D74" s="284">
        <f>$H$72*F74</f>
        <v>372</v>
      </c>
      <c r="E74" s="127" t="s">
        <v>371</v>
      </c>
      <c r="F74" s="281">
        <v>1</v>
      </c>
      <c r="G74" s="281" t="s">
        <v>352</v>
      </c>
    </row>
    <row r="75" spans="1:11" ht="14.25" customHeight="1">
      <c r="C75" s="127" t="s">
        <v>164</v>
      </c>
      <c r="D75" s="284">
        <f>$H$72*F75</f>
        <v>372</v>
      </c>
      <c r="E75" s="127" t="s">
        <v>371</v>
      </c>
      <c r="F75" s="281">
        <v>1</v>
      </c>
      <c r="G75" s="281" t="s">
        <v>353</v>
      </c>
    </row>
    <row r="76" spans="1:11" ht="14.25" customHeight="1">
      <c r="C76" s="127" t="s">
        <v>165</v>
      </c>
      <c r="D76" s="284">
        <f>$H$72*F76</f>
        <v>372</v>
      </c>
      <c r="E76" s="127" t="s">
        <v>371</v>
      </c>
      <c r="F76" s="281">
        <v>1</v>
      </c>
      <c r="G76" s="281" t="s">
        <v>353</v>
      </c>
    </row>
    <row r="77" spans="1:11" ht="14.25" customHeight="1">
      <c r="C77" s="127" t="s">
        <v>166</v>
      </c>
      <c r="D77" s="284">
        <f>$H$72*F77</f>
        <v>744</v>
      </c>
      <c r="E77" s="127" t="s">
        <v>371</v>
      </c>
      <c r="F77" s="281">
        <v>2</v>
      </c>
      <c r="G77" s="281" t="s">
        <v>352</v>
      </c>
    </row>
    <row r="78" spans="1:11" ht="30" customHeight="1">
      <c r="C78" s="242" t="s">
        <v>308</v>
      </c>
      <c r="D78" s="284">
        <v>1697</v>
      </c>
      <c r="E78" s="127" t="s">
        <v>313</v>
      </c>
      <c r="F78" s="281"/>
      <c r="G78" s="281"/>
    </row>
    <row r="79" spans="1:11">
      <c r="A79" s="235"/>
      <c r="B79" s="235"/>
      <c r="C79" s="242" t="s">
        <v>302</v>
      </c>
      <c r="D79" s="284">
        <f>$H$72*F79</f>
        <v>2604</v>
      </c>
      <c r="E79" s="127" t="s">
        <v>371</v>
      </c>
      <c r="F79" s="281">
        <v>7</v>
      </c>
      <c r="G79" s="281" t="s">
        <v>410</v>
      </c>
      <c r="H79" s="235"/>
    </row>
    <row r="80" spans="1:11">
      <c r="C80" s="127" t="s">
        <v>168</v>
      </c>
      <c r="D80" s="284">
        <f>$H$72*F80</f>
        <v>372</v>
      </c>
      <c r="E80" s="127" t="s">
        <v>371</v>
      </c>
      <c r="F80" s="281">
        <v>1</v>
      </c>
      <c r="G80" s="281" t="s">
        <v>353</v>
      </c>
    </row>
    <row r="81" spans="1:9">
      <c r="A81" s="235"/>
      <c r="B81" s="235"/>
      <c r="C81" s="127" t="s">
        <v>214</v>
      </c>
      <c r="D81" s="284">
        <f>$H$72*F81</f>
        <v>372</v>
      </c>
      <c r="E81" s="127" t="s">
        <v>371</v>
      </c>
      <c r="F81" s="281">
        <v>1</v>
      </c>
      <c r="G81" s="281" t="s">
        <v>353</v>
      </c>
    </row>
    <row r="82" spans="1:9">
      <c r="C82" s="127" t="s">
        <v>169</v>
      </c>
      <c r="D82" s="284">
        <f t="shared" ref="D82:D94" si="7">$H$72*F82</f>
        <v>372</v>
      </c>
      <c r="E82" s="127" t="s">
        <v>371</v>
      </c>
      <c r="F82" s="281">
        <v>1</v>
      </c>
      <c r="G82" s="281" t="s">
        <v>353</v>
      </c>
    </row>
    <row r="83" spans="1:9">
      <c r="C83" s="127" t="s">
        <v>171</v>
      </c>
      <c r="D83" s="284">
        <f t="shared" si="7"/>
        <v>744</v>
      </c>
      <c r="E83" s="127" t="s">
        <v>371</v>
      </c>
      <c r="F83" s="281">
        <v>2</v>
      </c>
      <c r="G83" s="281" t="s">
        <v>352</v>
      </c>
    </row>
    <row r="84" spans="1:9">
      <c r="C84" s="127" t="s">
        <v>172</v>
      </c>
      <c r="D84" s="284">
        <f t="shared" si="7"/>
        <v>744</v>
      </c>
      <c r="E84" s="127" t="s">
        <v>371</v>
      </c>
      <c r="F84" s="281">
        <v>2</v>
      </c>
      <c r="G84" s="281" t="s">
        <v>352</v>
      </c>
    </row>
    <row r="85" spans="1:9">
      <c r="C85" s="127" t="s">
        <v>173</v>
      </c>
      <c r="D85" s="284">
        <f t="shared" si="7"/>
        <v>744</v>
      </c>
      <c r="E85" s="127" t="s">
        <v>371</v>
      </c>
      <c r="F85" s="281">
        <v>2</v>
      </c>
      <c r="G85" s="281" t="s">
        <v>353</v>
      </c>
    </row>
    <row r="86" spans="1:9" s="235" customFormat="1">
      <c r="C86" s="127" t="s">
        <v>221</v>
      </c>
      <c r="D86" s="284">
        <f t="shared" si="7"/>
        <v>372</v>
      </c>
      <c r="E86" s="127" t="s">
        <v>371</v>
      </c>
      <c r="F86" s="281">
        <v>1</v>
      </c>
      <c r="G86" s="281" t="s">
        <v>353</v>
      </c>
    </row>
    <row r="87" spans="1:9">
      <c r="C87" s="127" t="s">
        <v>174</v>
      </c>
      <c r="D87" s="284">
        <f t="shared" si="7"/>
        <v>372</v>
      </c>
      <c r="E87" s="127" t="s">
        <v>371</v>
      </c>
      <c r="F87" s="281">
        <v>1</v>
      </c>
      <c r="G87" s="281" t="s">
        <v>353</v>
      </c>
    </row>
    <row r="88" spans="1:9">
      <c r="C88" s="127" t="s">
        <v>175</v>
      </c>
      <c r="D88" s="284">
        <f t="shared" si="7"/>
        <v>372</v>
      </c>
      <c r="E88" s="127" t="s">
        <v>371</v>
      </c>
      <c r="F88" s="281">
        <v>1</v>
      </c>
      <c r="G88" s="281" t="s">
        <v>353</v>
      </c>
    </row>
    <row r="89" spans="1:9">
      <c r="C89" s="127" t="s">
        <v>176</v>
      </c>
      <c r="D89" s="284">
        <f t="shared" si="7"/>
        <v>372</v>
      </c>
      <c r="E89" s="127" t="s">
        <v>371</v>
      </c>
      <c r="F89" s="281">
        <v>1</v>
      </c>
      <c r="G89" s="281" t="s">
        <v>354</v>
      </c>
    </row>
    <row r="90" spans="1:9" s="235" customFormat="1">
      <c r="A90"/>
      <c r="B90"/>
      <c r="C90" s="127" t="s">
        <v>177</v>
      </c>
      <c r="D90" s="284">
        <f t="shared" si="7"/>
        <v>1488</v>
      </c>
      <c r="E90" s="127" t="s">
        <v>371</v>
      </c>
      <c r="F90" s="281">
        <v>4</v>
      </c>
      <c r="G90" s="281" t="s">
        <v>410</v>
      </c>
      <c r="H90"/>
    </row>
    <row r="91" spans="1:9">
      <c r="A91" s="235"/>
      <c r="B91" s="235"/>
      <c r="C91" s="127" t="s">
        <v>229</v>
      </c>
      <c r="D91" s="284">
        <f t="shared" si="7"/>
        <v>744</v>
      </c>
      <c r="E91" s="127" t="s">
        <v>371</v>
      </c>
      <c r="F91" s="281">
        <v>2</v>
      </c>
      <c r="G91" s="281" t="s">
        <v>352</v>
      </c>
      <c r="H91" s="235"/>
    </row>
    <row r="92" spans="1:9" ht="15" thickBot="1">
      <c r="A92" s="235"/>
      <c r="B92" s="235"/>
      <c r="C92" s="127" t="s">
        <v>230</v>
      </c>
      <c r="D92" s="284">
        <f t="shared" si="7"/>
        <v>372</v>
      </c>
      <c r="E92" s="127" t="s">
        <v>371</v>
      </c>
      <c r="F92" s="281">
        <v>1</v>
      </c>
      <c r="G92" s="281" t="s">
        <v>353</v>
      </c>
    </row>
    <row r="93" spans="1:9" ht="15" thickBot="1">
      <c r="C93" s="127" t="s">
        <v>178</v>
      </c>
      <c r="D93" s="284">
        <f t="shared" si="7"/>
        <v>372</v>
      </c>
      <c r="E93" s="127" t="s">
        <v>371</v>
      </c>
      <c r="F93" s="281">
        <v>1</v>
      </c>
      <c r="G93" s="281" t="s">
        <v>353</v>
      </c>
      <c r="I93" s="129"/>
    </row>
    <row r="94" spans="1:9" ht="15" customHeight="1" thickBot="1">
      <c r="C94" s="127" t="s">
        <v>179</v>
      </c>
      <c r="D94" s="284">
        <f t="shared" si="7"/>
        <v>372</v>
      </c>
      <c r="E94" s="127" t="s">
        <v>371</v>
      </c>
      <c r="F94" s="281">
        <v>1</v>
      </c>
      <c r="G94" s="281" t="s">
        <v>353</v>
      </c>
    </row>
    <row r="95" spans="1:9" ht="23.25" customHeight="1" thickBot="1">
      <c r="A95" s="129"/>
      <c r="B95" s="129"/>
      <c r="C95" s="130" t="s">
        <v>181</v>
      </c>
      <c r="D95" s="280">
        <f>SUM(D73:D94)</f>
        <v>15089</v>
      </c>
      <c r="E95" s="240"/>
      <c r="F95" s="288">
        <f>SUM(F73:F94)</f>
        <v>36</v>
      </c>
      <c r="G95" s="288"/>
      <c r="H95" s="129"/>
    </row>
    <row r="96" spans="1:9">
      <c r="C96" s="127"/>
    </row>
    <row r="97" spans="3:4" ht="15">
      <c r="C97" s="148"/>
      <c r="D97" s="149"/>
    </row>
  </sheetData>
  <mergeCells count="3">
    <mergeCell ref="J6:K6"/>
    <mergeCell ref="J7:K7"/>
    <mergeCell ref="A3:C3"/>
  </mergeCells>
  <phoneticPr fontId="0" type="noConversion"/>
  <pageMargins left="0.48" right="0.48" top="0.6" bottom="0.6" header="0.37" footer="0.26"/>
  <pageSetup scale="62" fitToHeight="2" orientation="portrait" verticalDpi="300" r:id="rId1"/>
  <headerFooter>
    <oddHeader>&amp;C&amp;K0000002023 Preliminary MORE Budget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K71"/>
  <sheetViews>
    <sheetView showRuler="0" zoomScaleNormal="100" zoomScalePageLayoutView="96" workbookViewId="0"/>
  </sheetViews>
  <sheetFormatPr defaultColWidth="8" defaultRowHeight="12.75"/>
  <cols>
    <col min="1" max="1" width="3.75" style="83" customWidth="1"/>
    <col min="2" max="4" width="11.75" style="83" customWidth="1"/>
    <col min="5" max="5" width="9.375" style="83" customWidth="1"/>
    <col min="6" max="6" width="10.375" style="83" bestFit="1" customWidth="1"/>
    <col min="7" max="7" width="9.25" style="83" bestFit="1" customWidth="1"/>
    <col min="8" max="8" width="11.25" style="83" customWidth="1"/>
    <col min="9" max="10" width="9.875" style="83" customWidth="1"/>
    <col min="11" max="11" width="8.375" style="83" customWidth="1"/>
    <col min="12" max="12" width="9.25" style="83" bestFit="1" customWidth="1"/>
    <col min="13" max="13" width="8.875" style="83" bestFit="1" customWidth="1"/>
    <col min="14" max="14" width="7.125" style="83" bestFit="1" customWidth="1"/>
    <col min="15" max="15" width="9.25" style="83" bestFit="1" customWidth="1"/>
    <col min="16" max="16" width="9.25" style="83" customWidth="1"/>
    <col min="17" max="17" width="8.75" style="83" bestFit="1" customWidth="1"/>
    <col min="18" max="18" width="7" style="83" customWidth="1"/>
    <col min="19" max="19" width="0.75" style="83" customWidth="1"/>
    <col min="20" max="20" width="8.125" style="83" customWidth="1"/>
    <col min="21" max="22" width="7.375" style="83" customWidth="1"/>
    <col min="23" max="23" width="8.125" style="83" customWidth="1"/>
    <col min="24" max="24" width="9.125" style="83" customWidth="1"/>
    <col min="25" max="25" width="8" style="83"/>
    <col min="26" max="27" width="11.25" style="83" bestFit="1" customWidth="1"/>
    <col min="28" max="29" width="10" style="83" customWidth="1"/>
    <col min="30" max="32" width="8" style="83"/>
    <col min="33" max="34" width="7.75" style="83" customWidth="1"/>
    <col min="35" max="35" width="9.125" style="83" customWidth="1"/>
    <col min="36" max="16384" width="8" style="83"/>
  </cols>
  <sheetData>
    <row r="1" spans="1:37" ht="15" customHeight="1">
      <c r="B1" s="82" t="s">
        <v>372</v>
      </c>
      <c r="C1" s="82"/>
      <c r="D1" s="82"/>
      <c r="K1" s="82" t="s">
        <v>182</v>
      </c>
      <c r="M1" s="191">
        <f>(100000*1.05)+20000</f>
        <v>125000</v>
      </c>
      <c r="N1" s="348" t="s">
        <v>406</v>
      </c>
      <c r="O1" s="145"/>
      <c r="U1" s="82"/>
      <c r="V1" s="82"/>
    </row>
    <row r="2" spans="1:37">
      <c r="B2" s="82" t="s">
        <v>373</v>
      </c>
      <c r="C2" s="82"/>
      <c r="D2" s="82"/>
      <c r="K2" s="152" t="s">
        <v>183</v>
      </c>
      <c r="M2" s="192">
        <v>1600</v>
      </c>
      <c r="N2" s="303" t="s">
        <v>344</v>
      </c>
      <c r="O2" s="145"/>
    </row>
    <row r="3" spans="1:37">
      <c r="F3" s="85" t="s">
        <v>324</v>
      </c>
      <c r="K3" s="82" t="s">
        <v>321</v>
      </c>
      <c r="M3" s="291">
        <v>20000</v>
      </c>
      <c r="N3" s="355" t="s">
        <v>345</v>
      </c>
    </row>
    <row r="4" spans="1:37" ht="13.5" thickBot="1">
      <c r="A4" s="82"/>
      <c r="B4" s="82"/>
      <c r="C4" s="82"/>
      <c r="D4" s="82"/>
      <c r="F4" s="85" t="s">
        <v>184</v>
      </c>
      <c r="G4" s="85" t="s">
        <v>185</v>
      </c>
      <c r="H4" s="85" t="s">
        <v>186</v>
      </c>
      <c r="Z4" s="88"/>
      <c r="AA4" s="88"/>
      <c r="AB4" s="88"/>
      <c r="AC4" s="88"/>
      <c r="AD4" s="88"/>
      <c r="AE4" s="88"/>
      <c r="AF4" s="334"/>
      <c r="AG4" s="88"/>
      <c r="AH4" s="88"/>
      <c r="AI4" s="88"/>
      <c r="AJ4" s="88"/>
      <c r="AK4" s="88"/>
    </row>
    <row r="5" spans="1:37" ht="13.5" thickBot="1">
      <c r="C5" s="82" t="s">
        <v>402</v>
      </c>
      <c r="E5" s="151">
        <f>'2023 Preliminary budget'!H47</f>
        <v>935110</v>
      </c>
      <c r="F5" s="272">
        <f>M1-(81304)-M3</f>
        <v>23696</v>
      </c>
      <c r="G5" s="193">
        <f>E5-F5</f>
        <v>911414</v>
      </c>
      <c r="H5" s="194">
        <f>'2023 Preliminary budget'!H40</f>
        <v>207000</v>
      </c>
      <c r="L5" s="85">
        <v>10</v>
      </c>
      <c r="M5" s="85">
        <v>11</v>
      </c>
      <c r="N5" s="85">
        <v>12</v>
      </c>
      <c r="O5" s="85">
        <v>13</v>
      </c>
      <c r="P5" s="85">
        <v>14</v>
      </c>
      <c r="Q5" s="85">
        <v>15</v>
      </c>
      <c r="R5" s="85">
        <v>16</v>
      </c>
      <c r="Z5" s="88"/>
      <c r="AA5" s="88"/>
      <c r="AB5" s="88"/>
      <c r="AC5" s="88"/>
      <c r="AD5" s="88"/>
      <c r="AE5" s="88"/>
      <c r="AF5" s="334"/>
      <c r="AG5" s="88"/>
      <c r="AH5" s="88"/>
      <c r="AI5" s="88"/>
      <c r="AJ5" s="88"/>
      <c r="AK5" s="88"/>
    </row>
    <row r="6" spans="1:37" ht="12" customHeight="1" thickBot="1">
      <c r="E6" s="84"/>
      <c r="F6" s="346" t="s">
        <v>381</v>
      </c>
      <c r="G6" s="293">
        <f>M61</f>
        <v>81303.632082953845</v>
      </c>
      <c r="L6" s="363" t="s">
        <v>401</v>
      </c>
      <c r="M6" s="364"/>
      <c r="N6" s="364"/>
      <c r="O6" s="364"/>
      <c r="P6" s="364"/>
      <c r="Q6" s="364"/>
      <c r="R6" s="365"/>
      <c r="T6" s="85">
        <v>17</v>
      </c>
      <c r="U6" s="85">
        <v>18</v>
      </c>
      <c r="V6" s="85">
        <v>19</v>
      </c>
      <c r="W6" s="85">
        <v>20</v>
      </c>
      <c r="X6" s="85">
        <v>21</v>
      </c>
      <c r="Z6" s="88"/>
      <c r="AA6" s="88"/>
      <c r="AB6" s="88"/>
      <c r="AC6" s="88"/>
      <c r="AD6" s="88"/>
      <c r="AE6" s="313"/>
      <c r="AF6" s="335"/>
      <c r="AG6" s="88"/>
      <c r="AH6" s="88"/>
      <c r="AI6" s="88"/>
      <c r="AJ6" s="88"/>
      <c r="AK6" s="88"/>
    </row>
    <row r="7" spans="1:37" ht="12.75" customHeight="1" thickBot="1">
      <c r="C7" s="85">
        <v>1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85">
        <v>8</v>
      </c>
      <c r="K7" s="85">
        <v>9</v>
      </c>
      <c r="L7" s="366" t="s">
        <v>187</v>
      </c>
      <c r="M7" s="367"/>
      <c r="N7" s="367"/>
      <c r="O7" s="367"/>
      <c r="P7" s="367"/>
      <c r="Q7" s="367"/>
      <c r="R7" s="368"/>
      <c r="T7" s="363" t="s">
        <v>380</v>
      </c>
      <c r="U7" s="364"/>
      <c r="V7" s="364"/>
      <c r="W7" s="364"/>
      <c r="X7" s="365"/>
      <c r="Z7" s="88"/>
      <c r="AA7" s="88"/>
      <c r="AB7" s="336"/>
      <c r="AC7" s="88"/>
      <c r="AD7" s="88"/>
      <c r="AE7" s="313"/>
      <c r="AF7" s="88"/>
      <c r="AG7" s="88"/>
      <c r="AH7" s="88"/>
      <c r="AI7" s="88"/>
      <c r="AJ7" s="88"/>
      <c r="AK7" s="88"/>
    </row>
    <row r="8" spans="1:37" s="86" customFormat="1" ht="27" customHeight="1" thickBot="1">
      <c r="B8" s="86" t="s">
        <v>188</v>
      </c>
      <c r="C8" s="329" t="s">
        <v>338</v>
      </c>
      <c r="D8" s="333" t="s">
        <v>341</v>
      </c>
      <c r="E8" s="329" t="s">
        <v>375</v>
      </c>
      <c r="F8" s="329" t="s">
        <v>189</v>
      </c>
      <c r="G8" s="329" t="s">
        <v>376</v>
      </c>
      <c r="H8" s="329" t="s">
        <v>190</v>
      </c>
      <c r="I8" s="329" t="s">
        <v>377</v>
      </c>
      <c r="J8" s="329" t="s">
        <v>342</v>
      </c>
      <c r="K8" s="87" t="s">
        <v>343</v>
      </c>
      <c r="L8" s="318" t="s">
        <v>326</v>
      </c>
      <c r="M8" s="319" t="s">
        <v>191</v>
      </c>
      <c r="N8" s="319" t="s">
        <v>320</v>
      </c>
      <c r="O8" s="320" t="s">
        <v>192</v>
      </c>
      <c r="P8" s="321" t="s">
        <v>193</v>
      </c>
      <c r="Q8" s="319" t="s">
        <v>194</v>
      </c>
      <c r="R8" s="322" t="s">
        <v>195</v>
      </c>
      <c r="S8" s="87"/>
      <c r="T8" s="216" t="s">
        <v>326</v>
      </c>
      <c r="U8" s="215" t="s">
        <v>191</v>
      </c>
      <c r="V8" s="87" t="s">
        <v>320</v>
      </c>
      <c r="W8" s="232" t="s">
        <v>192</v>
      </c>
      <c r="X8" s="277" t="s">
        <v>193</v>
      </c>
      <c r="Z8" s="329"/>
      <c r="AA8" s="333"/>
      <c r="AB8" s="329"/>
      <c r="AC8" s="329"/>
      <c r="AD8" s="329"/>
      <c r="AE8" s="329"/>
      <c r="AF8" s="329"/>
      <c r="AG8" s="329"/>
      <c r="AH8" s="329"/>
      <c r="AI8" s="329"/>
      <c r="AJ8" s="329"/>
      <c r="AK8" s="337"/>
    </row>
    <row r="9" spans="1:37" s="88" customFormat="1" ht="15.75" customHeight="1">
      <c r="A9" s="137">
        <v>1</v>
      </c>
      <c r="B9" s="88" t="s">
        <v>162</v>
      </c>
      <c r="C9" s="331">
        <v>194885</v>
      </c>
      <c r="D9" s="343">
        <v>134307</v>
      </c>
      <c r="E9" s="347">
        <v>58719</v>
      </c>
      <c r="F9" s="195">
        <f t="shared" ref="F9:F40" si="0">E9/$E$61</f>
        <v>4.0596176621264822E-2</v>
      </c>
      <c r="G9" s="241">
        <v>99265</v>
      </c>
      <c r="H9" s="195">
        <f t="shared" ref="H9:H40" si="1">G9/$G$61</f>
        <v>4.089230203907436E-2</v>
      </c>
      <c r="I9" s="330">
        <f>E9+G9</f>
        <v>157984</v>
      </c>
      <c r="J9" s="332">
        <f>ROUND((C9+D9+I9)/3,0)</f>
        <v>162392</v>
      </c>
      <c r="K9" s="197">
        <f t="shared" ref="K9:K40" si="2">J9/$J$61</f>
        <v>3.8059810282186149E-2</v>
      </c>
      <c r="L9" s="89">
        <f>ROUND(K9*$G$5,0)</f>
        <v>34688</v>
      </c>
      <c r="M9" s="229">
        <f>IF(L9&lt;(M2*2), L9/2,$M$2)</f>
        <v>1600</v>
      </c>
      <c r="N9" s="229"/>
      <c r="O9" s="198">
        <f>L9-M9-N9</f>
        <v>33088</v>
      </c>
      <c r="P9" s="199">
        <f>ROUND(K9*$H$5,0)</f>
        <v>7878</v>
      </c>
      <c r="Q9" s="229">
        <f t="shared" ref="Q9:Q60" si="3">O9-W9</f>
        <v>2806</v>
      </c>
      <c r="R9" s="200">
        <f>(O9-W9)/W9</f>
        <v>9.2662307641503197E-2</v>
      </c>
      <c r="S9" s="90"/>
      <c r="T9" s="217">
        <v>31782</v>
      </c>
      <c r="U9" s="228">
        <v>1500</v>
      </c>
      <c r="V9" s="228"/>
      <c r="W9" s="229">
        <v>30282</v>
      </c>
      <c r="X9" s="278">
        <v>7366</v>
      </c>
      <c r="Z9" s="196"/>
      <c r="AA9" s="314"/>
      <c r="AB9" s="92"/>
      <c r="AC9" s="92"/>
      <c r="AD9" s="315"/>
      <c r="AE9" s="93"/>
      <c r="AF9" s="315"/>
      <c r="AG9" s="315"/>
      <c r="AH9" s="314"/>
      <c r="AI9" s="92"/>
    </row>
    <row r="10" spans="1:37" s="88" customFormat="1" ht="12.75" customHeight="1">
      <c r="A10" s="137">
        <v>2</v>
      </c>
      <c r="B10" s="145" t="s">
        <v>163</v>
      </c>
      <c r="C10" s="331">
        <v>137254</v>
      </c>
      <c r="D10" s="343">
        <v>89349</v>
      </c>
      <c r="E10" s="252">
        <v>38348</v>
      </c>
      <c r="F10" s="195">
        <f t="shared" si="0"/>
        <v>2.6512409630141238E-2</v>
      </c>
      <c r="G10" s="241">
        <v>44465</v>
      </c>
      <c r="H10" s="195">
        <f t="shared" si="1"/>
        <v>1.8317394954590657E-2</v>
      </c>
      <c r="I10" s="330">
        <f t="shared" ref="I10:I60" si="4">E10+G10</f>
        <v>82813</v>
      </c>
      <c r="J10" s="332">
        <f t="shared" ref="J10:J60" si="5">ROUND((C10+D10+I10)/3,0)</f>
        <v>103139</v>
      </c>
      <c r="K10" s="197">
        <f t="shared" si="2"/>
        <v>2.4172685678447197E-2</v>
      </c>
      <c r="L10" s="91">
        <f>ROUND(K10*$G$5,0)</f>
        <v>22031</v>
      </c>
      <c r="M10" s="228">
        <f>IF(L10&lt;($M$2*2), L10/2,$M$2)</f>
        <v>1600</v>
      </c>
      <c r="N10" s="228"/>
      <c r="O10" s="297">
        <f>L10-M10-N10</f>
        <v>20431</v>
      </c>
      <c r="P10" s="133">
        <f t="shared" ref="P10:P38" si="6">ROUND(K10*$H$5,0)</f>
        <v>5004</v>
      </c>
      <c r="Q10" s="93">
        <f t="shared" si="3"/>
        <v>-479</v>
      </c>
      <c r="R10" s="201">
        <f>(O10-W10)/W10</f>
        <v>-2.2907699665231946E-2</v>
      </c>
      <c r="S10" s="90"/>
      <c r="T10" s="218">
        <v>22410</v>
      </c>
      <c r="U10" s="228">
        <v>1500</v>
      </c>
      <c r="V10" s="228"/>
      <c r="W10" s="219">
        <v>20910</v>
      </c>
      <c r="X10" s="279">
        <v>5194</v>
      </c>
      <c r="Z10" s="196"/>
      <c r="AA10" s="314"/>
      <c r="AB10" s="92"/>
      <c r="AC10" s="92"/>
      <c r="AD10" s="315"/>
      <c r="AE10" s="93"/>
      <c r="AF10" s="315"/>
      <c r="AG10" s="315"/>
      <c r="AH10" s="314"/>
      <c r="AI10" s="92"/>
    </row>
    <row r="11" spans="1:37" s="88" customFormat="1">
      <c r="A11" s="137">
        <v>3</v>
      </c>
      <c r="B11" s="145" t="s">
        <v>196</v>
      </c>
      <c r="C11" s="331">
        <v>40767</v>
      </c>
      <c r="D11" s="343">
        <v>28863</v>
      </c>
      <c r="E11" s="252">
        <v>17155</v>
      </c>
      <c r="F11" s="195">
        <f t="shared" si="0"/>
        <v>1.1860341796314617E-2</v>
      </c>
      <c r="G11" s="241">
        <v>13885</v>
      </c>
      <c r="H11" s="195">
        <f t="shared" si="1"/>
        <v>5.7199376800740193E-3</v>
      </c>
      <c r="I11" s="330">
        <f t="shared" si="4"/>
        <v>31040</v>
      </c>
      <c r="J11" s="332">
        <f t="shared" si="5"/>
        <v>33557</v>
      </c>
      <c r="K11" s="197">
        <f t="shared" si="2"/>
        <v>7.8647535201199596E-3</v>
      </c>
      <c r="L11" s="91">
        <f t="shared" ref="L11:L60" si="7">ROUND(K11*$G$5,0)</f>
        <v>7168</v>
      </c>
      <c r="M11" s="228">
        <f t="shared" ref="M11:M60" si="8">IF(L11&lt;($M$2*2), L11/2,$M$2)</f>
        <v>1600</v>
      </c>
      <c r="N11" s="228"/>
      <c r="O11" s="297">
        <f t="shared" ref="O11:O60" si="9">L11-M11-N11</f>
        <v>5568</v>
      </c>
      <c r="P11" s="133">
        <f t="shared" si="6"/>
        <v>1628</v>
      </c>
      <c r="Q11" s="93">
        <f t="shared" si="3"/>
        <v>262</v>
      </c>
      <c r="R11" s="201">
        <f>(O11-W11)/W11</f>
        <v>4.9378062570674709E-2</v>
      </c>
      <c r="S11" s="90"/>
      <c r="T11" s="218">
        <v>6806</v>
      </c>
      <c r="U11" s="228">
        <v>1500</v>
      </c>
      <c r="V11" s="228"/>
      <c r="W11" s="219">
        <v>5306</v>
      </c>
      <c r="X11" s="279">
        <v>1578</v>
      </c>
      <c r="Z11" s="196"/>
      <c r="AA11" s="314"/>
      <c r="AB11" s="92"/>
      <c r="AC11" s="92"/>
      <c r="AD11" s="315"/>
      <c r="AE11" s="93"/>
      <c r="AF11" s="315"/>
      <c r="AG11" s="315"/>
      <c r="AH11" s="314"/>
      <c r="AI11" s="92"/>
    </row>
    <row r="12" spans="1:37" s="88" customFormat="1">
      <c r="A12" s="137">
        <v>4</v>
      </c>
      <c r="B12" s="145" t="s">
        <v>164</v>
      </c>
      <c r="C12" s="331">
        <v>91508</v>
      </c>
      <c r="D12" s="343">
        <v>63257</v>
      </c>
      <c r="E12" s="252">
        <v>29587</v>
      </c>
      <c r="F12" s="195">
        <f t="shared" si="0"/>
        <v>2.0455373519531365E-2</v>
      </c>
      <c r="G12" s="241">
        <v>36924</v>
      </c>
      <c r="H12" s="195">
        <f t="shared" si="1"/>
        <v>1.5210873525318911E-2</v>
      </c>
      <c r="I12" s="330">
        <f t="shared" si="4"/>
        <v>66511</v>
      </c>
      <c r="J12" s="332">
        <f t="shared" si="5"/>
        <v>73759</v>
      </c>
      <c r="K12" s="197">
        <f t="shared" si="2"/>
        <v>1.7286895577391548E-2</v>
      </c>
      <c r="L12" s="91">
        <f t="shared" si="7"/>
        <v>15756</v>
      </c>
      <c r="M12" s="228">
        <f t="shared" si="8"/>
        <v>1600</v>
      </c>
      <c r="N12" s="228"/>
      <c r="O12" s="297">
        <f t="shared" si="9"/>
        <v>14156</v>
      </c>
      <c r="P12" s="133">
        <f t="shared" si="6"/>
        <v>3578</v>
      </c>
      <c r="Q12" s="93">
        <f t="shared" si="3"/>
        <v>651</v>
      </c>
      <c r="R12" s="201">
        <f>(O12-W12)/W12</f>
        <v>4.8204368752313959E-2</v>
      </c>
      <c r="S12" s="90"/>
      <c r="T12" s="218">
        <v>15005</v>
      </c>
      <c r="U12" s="228">
        <v>1500</v>
      </c>
      <c r="V12" s="228"/>
      <c r="W12" s="219">
        <v>13505</v>
      </c>
      <c r="X12" s="279">
        <v>3478</v>
      </c>
      <c r="Z12" s="196"/>
      <c r="AA12" s="314"/>
      <c r="AB12" s="92"/>
      <c r="AC12" s="92"/>
      <c r="AD12" s="315"/>
      <c r="AE12" s="93"/>
      <c r="AF12" s="315"/>
      <c r="AG12" s="315"/>
      <c r="AH12" s="314"/>
      <c r="AI12" s="92"/>
    </row>
    <row r="13" spans="1:37" s="88" customFormat="1">
      <c r="A13" s="137">
        <v>5</v>
      </c>
      <c r="B13" s="88" t="s">
        <v>197</v>
      </c>
      <c r="C13" s="331">
        <v>36403</v>
      </c>
      <c r="D13" s="343">
        <v>27835</v>
      </c>
      <c r="E13" s="252">
        <v>15887</v>
      </c>
      <c r="F13" s="195">
        <f t="shared" si="0"/>
        <v>1.0983692807814067E-2</v>
      </c>
      <c r="G13" s="241">
        <v>15089</v>
      </c>
      <c r="H13" s="195">
        <f t="shared" si="1"/>
        <v>6.2159265145579311E-3</v>
      </c>
      <c r="I13" s="330">
        <f t="shared" si="4"/>
        <v>30976</v>
      </c>
      <c r="J13" s="332">
        <f t="shared" si="5"/>
        <v>31738</v>
      </c>
      <c r="K13" s="197">
        <f t="shared" si="2"/>
        <v>7.4384345210110345E-3</v>
      </c>
      <c r="L13" s="91">
        <f t="shared" si="7"/>
        <v>6779</v>
      </c>
      <c r="M13" s="228">
        <f t="shared" si="8"/>
        <v>1600</v>
      </c>
      <c r="N13" s="228"/>
      <c r="O13" s="297">
        <f t="shared" si="9"/>
        <v>5179</v>
      </c>
      <c r="P13" s="133">
        <f t="shared" si="6"/>
        <v>1540</v>
      </c>
      <c r="Q13" s="93">
        <f t="shared" si="3"/>
        <v>522</v>
      </c>
      <c r="R13" s="201">
        <f>(O13-W13)/W13</f>
        <v>0.11208932789349367</v>
      </c>
      <c r="S13" s="90"/>
      <c r="T13" s="218">
        <v>6157</v>
      </c>
      <c r="U13" s="228">
        <v>1500</v>
      </c>
      <c r="V13" s="228"/>
      <c r="W13" s="219">
        <v>4657</v>
      </c>
      <c r="X13" s="279">
        <v>1427</v>
      </c>
      <c r="Z13" s="196"/>
      <c r="AA13" s="314"/>
      <c r="AB13" s="92"/>
      <c r="AC13" s="92"/>
      <c r="AD13" s="315"/>
      <c r="AE13" s="93"/>
      <c r="AF13" s="315"/>
      <c r="AG13" s="315"/>
      <c r="AH13" s="314"/>
      <c r="AI13" s="92"/>
    </row>
    <row r="14" spans="1:37" s="88" customFormat="1">
      <c r="A14" s="137">
        <v>6</v>
      </c>
      <c r="B14" s="145" t="s">
        <v>198</v>
      </c>
      <c r="C14" s="331">
        <v>101171</v>
      </c>
      <c r="D14" s="343">
        <v>62405</v>
      </c>
      <c r="E14" s="252">
        <v>27511</v>
      </c>
      <c r="F14" s="195">
        <f t="shared" si="0"/>
        <v>1.9020102778106174E-2</v>
      </c>
      <c r="G14" s="241">
        <v>36807</v>
      </c>
      <c r="H14" s="195">
        <f t="shared" si="1"/>
        <v>1.516267527479182E-2</v>
      </c>
      <c r="I14" s="330">
        <f t="shared" si="4"/>
        <v>64318</v>
      </c>
      <c r="J14" s="332">
        <f t="shared" si="5"/>
        <v>75965</v>
      </c>
      <c r="K14" s="197">
        <f t="shared" si="2"/>
        <v>1.7803915759928263E-2</v>
      </c>
      <c r="L14" s="91">
        <f t="shared" si="7"/>
        <v>16227</v>
      </c>
      <c r="M14" s="228">
        <f t="shared" si="8"/>
        <v>1600</v>
      </c>
      <c r="N14" s="228"/>
      <c r="O14" s="297">
        <f t="shared" si="9"/>
        <v>14627</v>
      </c>
      <c r="P14" s="133">
        <f t="shared" si="6"/>
        <v>3685</v>
      </c>
      <c r="Q14" s="93">
        <f t="shared" si="3"/>
        <v>38</v>
      </c>
      <c r="R14" s="201">
        <f t="shared" ref="R14:R25" si="10">(O14-W14)/W14</f>
        <v>2.6047021728699705E-3</v>
      </c>
      <c r="S14" s="90"/>
      <c r="T14" s="218">
        <v>16089</v>
      </c>
      <c r="U14" s="228">
        <v>1500</v>
      </c>
      <c r="V14" s="228"/>
      <c r="W14" s="219">
        <v>14589</v>
      </c>
      <c r="X14" s="279">
        <v>3729</v>
      </c>
      <c r="Z14" s="196"/>
      <c r="AA14" s="314"/>
      <c r="AB14" s="92"/>
      <c r="AC14" s="92"/>
      <c r="AD14" s="315"/>
      <c r="AE14" s="93"/>
      <c r="AF14" s="315"/>
      <c r="AG14" s="315"/>
      <c r="AH14" s="314"/>
      <c r="AI14" s="92"/>
    </row>
    <row r="15" spans="1:37" s="88" customFormat="1">
      <c r="A15" s="137">
        <v>7</v>
      </c>
      <c r="B15" s="145" t="s">
        <v>199</v>
      </c>
      <c r="C15" s="331">
        <v>94117</v>
      </c>
      <c r="D15" s="343">
        <v>62153</v>
      </c>
      <c r="E15" s="252">
        <v>24341</v>
      </c>
      <c r="F15" s="195">
        <f t="shared" si="0"/>
        <v>1.6828480306854802E-2</v>
      </c>
      <c r="G15" s="241">
        <v>41510</v>
      </c>
      <c r="H15" s="195">
        <f t="shared" si="1"/>
        <v>1.7100080165637202E-2</v>
      </c>
      <c r="I15" s="330">
        <f t="shared" si="4"/>
        <v>65851</v>
      </c>
      <c r="J15" s="332">
        <f t="shared" si="5"/>
        <v>74040</v>
      </c>
      <c r="K15" s="197">
        <f t="shared" si="2"/>
        <v>1.7352753542619479E-2</v>
      </c>
      <c r="L15" s="91">
        <f t="shared" si="7"/>
        <v>15816</v>
      </c>
      <c r="M15" s="228">
        <f t="shared" si="8"/>
        <v>1600</v>
      </c>
      <c r="N15" s="228"/>
      <c r="O15" s="297">
        <f t="shared" si="9"/>
        <v>14216</v>
      </c>
      <c r="P15" s="133">
        <f t="shared" si="6"/>
        <v>3592</v>
      </c>
      <c r="Q15" s="93">
        <f t="shared" si="3"/>
        <v>568</v>
      </c>
      <c r="R15" s="201">
        <f t="shared" si="10"/>
        <v>4.1617819460726846E-2</v>
      </c>
      <c r="S15" s="90"/>
      <c r="T15" s="218">
        <v>15148</v>
      </c>
      <c r="U15" s="228">
        <v>1500</v>
      </c>
      <c r="V15" s="228"/>
      <c r="W15" s="219">
        <v>13648</v>
      </c>
      <c r="X15" s="279">
        <v>3511</v>
      </c>
      <c r="Z15" s="196"/>
      <c r="AA15" s="314"/>
      <c r="AB15" s="92"/>
      <c r="AC15" s="92"/>
      <c r="AD15" s="315"/>
      <c r="AE15" s="93"/>
      <c r="AF15" s="315"/>
      <c r="AG15" s="315"/>
      <c r="AH15" s="314"/>
      <c r="AI15" s="92"/>
    </row>
    <row r="16" spans="1:37" s="88" customFormat="1">
      <c r="A16" s="137">
        <v>8</v>
      </c>
      <c r="B16" s="88" t="s">
        <v>200</v>
      </c>
      <c r="C16" s="331">
        <v>39764</v>
      </c>
      <c r="D16" s="343">
        <v>27067</v>
      </c>
      <c r="E16" s="252">
        <v>12612</v>
      </c>
      <c r="F16" s="195">
        <f t="shared" si="0"/>
        <v>8.719477163224713E-3</v>
      </c>
      <c r="G16" s="241">
        <v>18206</v>
      </c>
      <c r="H16" s="195">
        <f t="shared" si="1"/>
        <v>7.4999773427027435E-3</v>
      </c>
      <c r="I16" s="330">
        <f t="shared" si="4"/>
        <v>30818</v>
      </c>
      <c r="J16" s="332">
        <f t="shared" si="5"/>
        <v>32550</v>
      </c>
      <c r="K16" s="197">
        <f t="shared" si="2"/>
        <v>7.6287429472212858E-3</v>
      </c>
      <c r="L16" s="91">
        <f t="shared" si="7"/>
        <v>6953</v>
      </c>
      <c r="M16" s="228">
        <f t="shared" si="8"/>
        <v>1600</v>
      </c>
      <c r="N16" s="228"/>
      <c r="O16" s="297">
        <f t="shared" si="9"/>
        <v>5353</v>
      </c>
      <c r="P16" s="133">
        <f t="shared" si="6"/>
        <v>1579</v>
      </c>
      <c r="Q16" s="93">
        <f t="shared" si="3"/>
        <v>276</v>
      </c>
      <c r="R16" s="201">
        <f t="shared" si="10"/>
        <v>5.4362812684656293E-2</v>
      </c>
      <c r="S16" s="90"/>
      <c r="T16" s="218">
        <v>6577</v>
      </c>
      <c r="U16" s="228">
        <v>1500</v>
      </c>
      <c r="V16" s="228"/>
      <c r="W16" s="219">
        <v>5077</v>
      </c>
      <c r="X16" s="279">
        <v>1524</v>
      </c>
      <c r="Z16" s="196"/>
      <c r="AA16" s="314"/>
      <c r="AB16" s="92"/>
      <c r="AC16" s="92"/>
      <c r="AD16" s="315"/>
      <c r="AE16" s="93"/>
      <c r="AF16" s="315"/>
      <c r="AG16" s="315"/>
      <c r="AH16" s="314"/>
      <c r="AI16" s="92"/>
    </row>
    <row r="17" spans="1:35" s="88" customFormat="1">
      <c r="A17" s="137">
        <v>9</v>
      </c>
      <c r="B17" s="145" t="s">
        <v>201</v>
      </c>
      <c r="C17" s="331">
        <v>31946</v>
      </c>
      <c r="D17" s="343">
        <v>28391</v>
      </c>
      <c r="E17" s="252">
        <v>19135</v>
      </c>
      <c r="F17" s="195">
        <f t="shared" si="0"/>
        <v>1.3229241636402227E-2</v>
      </c>
      <c r="G17" s="241">
        <v>11826</v>
      </c>
      <c r="H17" s="195">
        <f t="shared" si="1"/>
        <v>4.8717308609690568E-3</v>
      </c>
      <c r="I17" s="330">
        <f t="shared" si="4"/>
        <v>30961</v>
      </c>
      <c r="J17" s="332">
        <f t="shared" si="5"/>
        <v>30433</v>
      </c>
      <c r="K17" s="197">
        <f t="shared" si="2"/>
        <v>7.1325816931731307E-3</v>
      </c>
      <c r="L17" s="91">
        <f t="shared" si="7"/>
        <v>6501</v>
      </c>
      <c r="M17" s="228">
        <f t="shared" si="8"/>
        <v>1600</v>
      </c>
      <c r="N17" s="228"/>
      <c r="O17" s="297">
        <f t="shared" si="9"/>
        <v>4901</v>
      </c>
      <c r="P17" s="133">
        <f t="shared" si="6"/>
        <v>1476</v>
      </c>
      <c r="Q17" s="93">
        <f t="shared" si="3"/>
        <v>703</v>
      </c>
      <c r="R17" s="201">
        <f t="shared" si="10"/>
        <v>0.16746069556931872</v>
      </c>
      <c r="S17" s="90"/>
      <c r="T17" s="218">
        <v>5698</v>
      </c>
      <c r="U17" s="228">
        <v>1500</v>
      </c>
      <c r="V17" s="228"/>
      <c r="W17" s="219">
        <v>4198</v>
      </c>
      <c r="X17" s="279">
        <v>1321</v>
      </c>
      <c r="Z17" s="196"/>
      <c r="AA17" s="314"/>
      <c r="AB17" s="92"/>
      <c r="AC17" s="92"/>
      <c r="AD17" s="315"/>
      <c r="AE17" s="93"/>
      <c r="AF17" s="315"/>
      <c r="AG17" s="315"/>
      <c r="AH17" s="314"/>
      <c r="AI17" s="92"/>
    </row>
    <row r="18" spans="1:35" s="88" customFormat="1">
      <c r="A18" s="137">
        <v>10</v>
      </c>
      <c r="B18" s="145" t="s">
        <v>202</v>
      </c>
      <c r="C18" s="331">
        <v>44059</v>
      </c>
      <c r="D18" s="343">
        <v>29424</v>
      </c>
      <c r="E18" s="252">
        <v>13730</v>
      </c>
      <c r="F18" s="195">
        <f t="shared" si="0"/>
        <v>9.4924216183852935E-3</v>
      </c>
      <c r="G18" s="241">
        <v>15189</v>
      </c>
      <c r="H18" s="195">
        <f t="shared" si="1"/>
        <v>6.257121600478522E-3</v>
      </c>
      <c r="I18" s="330">
        <f t="shared" si="4"/>
        <v>28919</v>
      </c>
      <c r="J18" s="332">
        <f t="shared" si="5"/>
        <v>34134</v>
      </c>
      <c r="K18" s="197">
        <f t="shared" si="2"/>
        <v>7.9999850003210863E-3</v>
      </c>
      <c r="L18" s="91">
        <f t="shared" si="7"/>
        <v>7291</v>
      </c>
      <c r="M18" s="228">
        <f t="shared" si="8"/>
        <v>1600</v>
      </c>
      <c r="N18" s="228"/>
      <c r="O18" s="297">
        <f t="shared" si="9"/>
        <v>5691</v>
      </c>
      <c r="P18" s="133">
        <f t="shared" si="6"/>
        <v>1656</v>
      </c>
      <c r="Q18" s="93">
        <f t="shared" si="3"/>
        <v>-159</v>
      </c>
      <c r="R18" s="201">
        <f t="shared" si="10"/>
        <v>-2.7179487179487181E-2</v>
      </c>
      <c r="S18" s="90"/>
      <c r="T18" s="218">
        <v>7350</v>
      </c>
      <c r="U18" s="228">
        <v>1500</v>
      </c>
      <c r="V18" s="228"/>
      <c r="W18" s="219">
        <v>5850</v>
      </c>
      <c r="X18" s="279">
        <v>1704</v>
      </c>
      <c r="Z18" s="196"/>
      <c r="AA18" s="314"/>
      <c r="AB18" s="92"/>
      <c r="AC18" s="92"/>
      <c r="AD18" s="315"/>
      <c r="AE18" s="93"/>
      <c r="AF18" s="315"/>
      <c r="AG18" s="315"/>
      <c r="AH18" s="314"/>
      <c r="AI18" s="92"/>
    </row>
    <row r="19" spans="1:35" s="88" customFormat="1" ht="12.75" customHeight="1">
      <c r="A19" s="137">
        <v>11</v>
      </c>
      <c r="B19" s="145" t="s">
        <v>203</v>
      </c>
      <c r="C19" s="331">
        <v>36041</v>
      </c>
      <c r="D19" s="343">
        <v>23140</v>
      </c>
      <c r="E19" s="252">
        <v>9990</v>
      </c>
      <c r="F19" s="195">
        <f t="shared" si="0"/>
        <v>6.9067219204420301E-3</v>
      </c>
      <c r="G19" s="241">
        <v>21333</v>
      </c>
      <c r="H19" s="195">
        <f t="shared" si="1"/>
        <v>8.7881476794396153E-3</v>
      </c>
      <c r="I19" s="330">
        <f t="shared" si="4"/>
        <v>31323</v>
      </c>
      <c r="J19" s="332">
        <f t="shared" si="5"/>
        <v>30168</v>
      </c>
      <c r="K19" s="197">
        <f t="shared" si="2"/>
        <v>7.0704736476734798E-3</v>
      </c>
      <c r="L19" s="91">
        <f t="shared" si="7"/>
        <v>6444</v>
      </c>
      <c r="M19" s="228">
        <f t="shared" si="8"/>
        <v>1600</v>
      </c>
      <c r="N19" s="228"/>
      <c r="O19" s="297">
        <f t="shared" si="9"/>
        <v>4844</v>
      </c>
      <c r="P19" s="133">
        <f t="shared" si="6"/>
        <v>1464</v>
      </c>
      <c r="Q19" s="93">
        <f t="shared" si="3"/>
        <v>647</v>
      </c>
      <c r="R19" s="201">
        <f t="shared" si="10"/>
        <v>0.15415773171312844</v>
      </c>
      <c r="S19" s="90"/>
      <c r="T19" s="218">
        <v>5697</v>
      </c>
      <c r="U19" s="228">
        <v>1500</v>
      </c>
      <c r="V19" s="228"/>
      <c r="W19" s="219">
        <v>4197</v>
      </c>
      <c r="X19" s="279">
        <v>1320</v>
      </c>
      <c r="Z19" s="196"/>
      <c r="AA19" s="314"/>
      <c r="AB19" s="92"/>
      <c r="AC19" s="92"/>
      <c r="AD19" s="315"/>
      <c r="AE19" s="93"/>
      <c r="AF19" s="315"/>
      <c r="AG19" s="315"/>
      <c r="AH19" s="314"/>
      <c r="AI19" s="92"/>
    </row>
    <row r="20" spans="1:35" s="88" customFormat="1" ht="12" customHeight="1">
      <c r="A20" s="137">
        <v>12</v>
      </c>
      <c r="B20" s="88" t="s">
        <v>204</v>
      </c>
      <c r="C20" s="331">
        <v>22389</v>
      </c>
      <c r="D20" s="343">
        <v>16419</v>
      </c>
      <c r="E20" s="252">
        <v>10065</v>
      </c>
      <c r="F20" s="195">
        <f t="shared" si="0"/>
        <v>6.9585741871120155E-3</v>
      </c>
      <c r="G20" s="241">
        <v>5972</v>
      </c>
      <c r="H20" s="195">
        <f t="shared" si="1"/>
        <v>2.4601705311776767E-3</v>
      </c>
      <c r="I20" s="330">
        <f t="shared" si="4"/>
        <v>16037</v>
      </c>
      <c r="J20" s="332">
        <f t="shared" si="5"/>
        <v>18282</v>
      </c>
      <c r="K20" s="197">
        <f t="shared" si="2"/>
        <v>4.2847520295268681E-3</v>
      </c>
      <c r="L20" s="91">
        <f t="shared" si="7"/>
        <v>3905</v>
      </c>
      <c r="M20" s="228">
        <f t="shared" si="8"/>
        <v>1600</v>
      </c>
      <c r="N20" s="228"/>
      <c r="O20" s="297">
        <f t="shared" si="9"/>
        <v>2305</v>
      </c>
      <c r="P20" s="133">
        <f t="shared" si="6"/>
        <v>887</v>
      </c>
      <c r="Q20" s="93">
        <f t="shared" si="3"/>
        <v>216</v>
      </c>
      <c r="R20" s="201">
        <f t="shared" si="10"/>
        <v>0.10339875538535184</v>
      </c>
      <c r="S20" s="90"/>
      <c r="T20" s="218">
        <v>3589</v>
      </c>
      <c r="U20" s="228">
        <v>1500</v>
      </c>
      <c r="V20" s="228"/>
      <c r="W20" s="219">
        <v>2089</v>
      </c>
      <c r="X20" s="279">
        <v>832</v>
      </c>
      <c r="Z20" s="196"/>
      <c r="AA20" s="314"/>
      <c r="AB20" s="92"/>
      <c r="AC20" s="92"/>
      <c r="AD20" s="315"/>
      <c r="AE20" s="93"/>
      <c r="AF20" s="315"/>
      <c r="AG20" s="315"/>
      <c r="AH20" s="314"/>
      <c r="AI20" s="92"/>
    </row>
    <row r="21" spans="1:35" s="88" customFormat="1">
      <c r="A21" s="137">
        <v>13</v>
      </c>
      <c r="B21" s="145" t="s">
        <v>205</v>
      </c>
      <c r="C21" s="331">
        <v>52104</v>
      </c>
      <c r="D21" s="343">
        <v>35997</v>
      </c>
      <c r="E21" s="252">
        <v>17433</v>
      </c>
      <c r="F21" s="195">
        <f t="shared" si="0"/>
        <v>1.2052540864771363E-2</v>
      </c>
      <c r="G21" s="241">
        <v>24358</v>
      </c>
      <c r="H21" s="195">
        <f t="shared" si="1"/>
        <v>1.0034299028537483E-2</v>
      </c>
      <c r="I21" s="330">
        <f t="shared" si="4"/>
        <v>41791</v>
      </c>
      <c r="J21" s="332">
        <f t="shared" si="5"/>
        <v>43297</v>
      </c>
      <c r="K21" s="197">
        <f t="shared" si="2"/>
        <v>1.0147517154710907E-2</v>
      </c>
      <c r="L21" s="91">
        <f t="shared" si="7"/>
        <v>9249</v>
      </c>
      <c r="M21" s="228">
        <f t="shared" si="8"/>
        <v>1600</v>
      </c>
      <c r="N21" s="228"/>
      <c r="O21" s="297">
        <f t="shared" si="9"/>
        <v>7649</v>
      </c>
      <c r="P21" s="133">
        <f t="shared" si="6"/>
        <v>2101</v>
      </c>
      <c r="Q21" s="93">
        <f t="shared" si="3"/>
        <v>352</v>
      </c>
      <c r="R21" s="201">
        <f t="shared" si="10"/>
        <v>4.8239002329724542E-2</v>
      </c>
      <c r="S21" s="90"/>
      <c r="T21" s="218">
        <v>8797</v>
      </c>
      <c r="U21" s="228">
        <v>1500</v>
      </c>
      <c r="V21" s="228"/>
      <c r="W21" s="219">
        <v>7297</v>
      </c>
      <c r="X21" s="279">
        <v>2039</v>
      </c>
      <c r="Z21" s="196"/>
      <c r="AA21" s="314"/>
      <c r="AB21" s="92"/>
      <c r="AC21" s="92"/>
      <c r="AD21" s="315"/>
      <c r="AE21" s="93"/>
      <c r="AF21" s="315"/>
      <c r="AG21" s="315"/>
      <c r="AH21" s="314"/>
      <c r="AI21" s="92"/>
    </row>
    <row r="22" spans="1:35" s="88" customFormat="1">
      <c r="A22" s="137">
        <v>14</v>
      </c>
      <c r="B22" s="88" t="s">
        <v>206</v>
      </c>
      <c r="C22" s="331">
        <v>344906</v>
      </c>
      <c r="D22" s="343">
        <v>220187</v>
      </c>
      <c r="E22" s="252">
        <v>103680</v>
      </c>
      <c r="F22" s="195">
        <f t="shared" si="0"/>
        <v>7.1680573444587559E-2</v>
      </c>
      <c r="G22" s="241">
        <v>144942</v>
      </c>
      <c r="H22" s="195">
        <f t="shared" si="1"/>
        <v>5.9708981435022582E-2</v>
      </c>
      <c r="I22" s="330">
        <f t="shared" si="4"/>
        <v>248622</v>
      </c>
      <c r="J22" s="332">
        <f t="shared" si="5"/>
        <v>271238</v>
      </c>
      <c r="K22" s="197">
        <f t="shared" si="2"/>
        <v>6.3570045453714502E-2</v>
      </c>
      <c r="L22" s="91">
        <f t="shared" si="7"/>
        <v>57939</v>
      </c>
      <c r="M22" s="228">
        <f t="shared" si="8"/>
        <v>1600</v>
      </c>
      <c r="N22" s="292">
        <f>K69*M3</f>
        <v>4400.2605393944159</v>
      </c>
      <c r="O22" s="297">
        <f t="shared" si="9"/>
        <v>51938.739460605582</v>
      </c>
      <c r="P22" s="133">
        <f t="shared" si="6"/>
        <v>13159</v>
      </c>
      <c r="Q22" s="93">
        <f t="shared" si="3"/>
        <v>670.51763225228206</v>
      </c>
      <c r="R22" s="201">
        <f t="shared" si="10"/>
        <v>1.3078620797444158E-2</v>
      </c>
      <c r="S22" s="90"/>
      <c r="T22" s="218">
        <v>56964</v>
      </c>
      <c r="U22" s="228">
        <v>1500</v>
      </c>
      <c r="V22" s="228">
        <v>4195.7781716466961</v>
      </c>
      <c r="W22" s="219">
        <v>51268.2218283533</v>
      </c>
      <c r="X22" s="279">
        <v>13203</v>
      </c>
      <c r="Z22" s="196"/>
      <c r="AA22" s="314"/>
      <c r="AB22" s="92"/>
      <c r="AC22" s="92"/>
      <c r="AD22" s="315"/>
      <c r="AE22" s="93"/>
      <c r="AF22" s="315"/>
      <c r="AG22" s="315"/>
      <c r="AH22" s="314"/>
      <c r="AI22" s="92"/>
    </row>
    <row r="23" spans="1:35" s="88" customFormat="1">
      <c r="A23" s="137">
        <v>15</v>
      </c>
      <c r="B23" s="88" t="s">
        <v>207</v>
      </c>
      <c r="C23" s="331">
        <v>48741</v>
      </c>
      <c r="D23" s="343">
        <v>33995</v>
      </c>
      <c r="E23" s="252">
        <v>20818</v>
      </c>
      <c r="F23" s="195">
        <f t="shared" si="0"/>
        <v>1.4392806500476696E-2</v>
      </c>
      <c r="G23" s="241">
        <v>14989</v>
      </c>
      <c r="H23" s="195">
        <f t="shared" si="1"/>
        <v>6.174731428637341E-3</v>
      </c>
      <c r="I23" s="330">
        <f t="shared" si="4"/>
        <v>35807</v>
      </c>
      <c r="J23" s="332">
        <f t="shared" si="5"/>
        <v>39514</v>
      </c>
      <c r="K23" s="197">
        <f t="shared" si="2"/>
        <v>9.2608955089555113E-3</v>
      </c>
      <c r="L23" s="91">
        <f t="shared" si="7"/>
        <v>8441</v>
      </c>
      <c r="M23" s="228">
        <f t="shared" si="8"/>
        <v>1600</v>
      </c>
      <c r="N23" s="228"/>
      <c r="O23" s="297">
        <f t="shared" si="9"/>
        <v>6841</v>
      </c>
      <c r="P23" s="133">
        <f t="shared" si="6"/>
        <v>1917</v>
      </c>
      <c r="Q23" s="93">
        <f t="shared" si="3"/>
        <v>211</v>
      </c>
      <c r="R23" s="201">
        <f t="shared" si="10"/>
        <v>3.1825037707390647E-2</v>
      </c>
      <c r="S23" s="90"/>
      <c r="T23" s="218">
        <v>8130</v>
      </c>
      <c r="U23" s="228">
        <v>1500</v>
      </c>
      <c r="V23" s="228"/>
      <c r="W23" s="219">
        <v>6630</v>
      </c>
      <c r="X23" s="279">
        <v>1884</v>
      </c>
      <c r="Z23" s="196"/>
      <c r="AA23" s="314"/>
      <c r="AB23" s="92"/>
      <c r="AC23" s="92"/>
      <c r="AD23" s="315"/>
      <c r="AE23" s="93"/>
      <c r="AF23" s="315"/>
      <c r="AG23" s="315"/>
      <c r="AH23" s="314"/>
      <c r="AI23" s="92"/>
    </row>
    <row r="24" spans="1:35" s="88" customFormat="1">
      <c r="A24" s="137">
        <v>16</v>
      </c>
      <c r="B24" s="88" t="s">
        <v>208</v>
      </c>
      <c r="C24" s="331">
        <v>43341</v>
      </c>
      <c r="D24" s="343">
        <v>40214</v>
      </c>
      <c r="E24" s="252">
        <v>11277</v>
      </c>
      <c r="F24" s="195">
        <f t="shared" si="0"/>
        <v>7.7965068164989769E-3</v>
      </c>
      <c r="G24" s="241">
        <v>32984</v>
      </c>
      <c r="H24" s="195">
        <f t="shared" si="1"/>
        <v>1.3587787140047637E-2</v>
      </c>
      <c r="I24" s="330">
        <f t="shared" si="4"/>
        <v>44261</v>
      </c>
      <c r="J24" s="332">
        <f t="shared" si="5"/>
        <v>42605</v>
      </c>
      <c r="K24" s="197">
        <f t="shared" si="2"/>
        <v>9.9853331264627612E-3</v>
      </c>
      <c r="L24" s="91">
        <f t="shared" si="7"/>
        <v>9101</v>
      </c>
      <c r="M24" s="228">
        <f t="shared" si="8"/>
        <v>1600</v>
      </c>
      <c r="N24" s="228"/>
      <c r="O24" s="297">
        <f t="shared" si="9"/>
        <v>7501</v>
      </c>
      <c r="P24" s="133">
        <f t="shared" si="6"/>
        <v>2067</v>
      </c>
      <c r="Q24" s="93">
        <f t="shared" si="3"/>
        <v>1492</v>
      </c>
      <c r="R24" s="201">
        <f t="shared" si="10"/>
        <v>0.24829422532867365</v>
      </c>
      <c r="S24" s="90"/>
      <c r="T24" s="218">
        <v>7509</v>
      </c>
      <c r="U24" s="228">
        <v>1500</v>
      </c>
      <c r="V24" s="228"/>
      <c r="W24" s="219">
        <v>6009</v>
      </c>
      <c r="X24" s="279">
        <v>1740</v>
      </c>
      <c r="Z24" s="196"/>
      <c r="AA24" s="314"/>
      <c r="AB24" s="92"/>
      <c r="AC24" s="92"/>
      <c r="AD24" s="315"/>
      <c r="AE24" s="93"/>
      <c r="AF24" s="315"/>
      <c r="AG24" s="315"/>
      <c r="AH24" s="314"/>
      <c r="AI24" s="92"/>
    </row>
    <row r="25" spans="1:35" s="88" customFormat="1">
      <c r="A25" s="137">
        <v>17</v>
      </c>
      <c r="B25" s="145" t="s">
        <v>209</v>
      </c>
      <c r="C25" s="331">
        <v>96947</v>
      </c>
      <c r="D25" s="343">
        <v>69370</v>
      </c>
      <c r="E25" s="252">
        <v>32422</v>
      </c>
      <c r="F25" s="195">
        <f t="shared" si="0"/>
        <v>2.2415389199656806E-2</v>
      </c>
      <c r="G25" s="241">
        <v>44416</v>
      </c>
      <c r="H25" s="195">
        <f t="shared" si="1"/>
        <v>1.8297209362489568E-2</v>
      </c>
      <c r="I25" s="330">
        <f t="shared" si="4"/>
        <v>76838</v>
      </c>
      <c r="J25" s="332">
        <f t="shared" si="5"/>
        <v>81052</v>
      </c>
      <c r="K25" s="197">
        <f t="shared" si="2"/>
        <v>1.8996155863538547E-2</v>
      </c>
      <c r="L25" s="91">
        <f t="shared" si="7"/>
        <v>17313</v>
      </c>
      <c r="M25" s="228">
        <f t="shared" si="8"/>
        <v>1600</v>
      </c>
      <c r="N25" s="228"/>
      <c r="O25" s="297">
        <f t="shared" si="9"/>
        <v>15713</v>
      </c>
      <c r="P25" s="133">
        <f t="shared" si="6"/>
        <v>3932</v>
      </c>
      <c r="Q25" s="93">
        <f t="shared" si="3"/>
        <v>1344</v>
      </c>
      <c r="R25" s="201">
        <f t="shared" si="10"/>
        <v>9.3534692741318121E-2</v>
      </c>
      <c r="S25" s="90"/>
      <c r="T25" s="218">
        <v>15869</v>
      </c>
      <c r="U25" s="228">
        <v>1500</v>
      </c>
      <c r="V25" s="228"/>
      <c r="W25" s="219">
        <v>14369</v>
      </c>
      <c r="X25" s="279">
        <v>3678</v>
      </c>
      <c r="Z25" s="196"/>
      <c r="AA25" s="314"/>
      <c r="AB25" s="92"/>
      <c r="AC25" s="92"/>
      <c r="AD25" s="315"/>
      <c r="AE25" s="93"/>
      <c r="AF25" s="315"/>
      <c r="AG25" s="315"/>
      <c r="AH25" s="314"/>
      <c r="AI25" s="92"/>
    </row>
    <row r="26" spans="1:35" s="88" customFormat="1">
      <c r="A26" s="137">
        <v>18</v>
      </c>
      <c r="B26" s="145" t="s">
        <v>378</v>
      </c>
      <c r="C26" s="331">
        <v>22000</v>
      </c>
      <c r="D26" s="343">
        <v>22000</v>
      </c>
      <c r="E26" s="252">
        <v>14719</v>
      </c>
      <c r="F26" s="195">
        <f t="shared" si="0"/>
        <v>1.0176180174873498E-2</v>
      </c>
      <c r="G26" s="241">
        <v>8174</v>
      </c>
      <c r="H26" s="195">
        <f t="shared" si="1"/>
        <v>3.367286323149084E-3</v>
      </c>
      <c r="I26" s="330">
        <f t="shared" si="4"/>
        <v>22893</v>
      </c>
      <c r="J26" s="332">
        <f t="shared" si="5"/>
        <v>22298</v>
      </c>
      <c r="K26" s="360">
        <f t="shared" si="2"/>
        <v>5.2259818813253532E-3</v>
      </c>
      <c r="L26" s="91">
        <f t="shared" si="7"/>
        <v>4763</v>
      </c>
      <c r="M26" s="228">
        <f>-(K26*E5)+L26</f>
        <v>-123.86791704615098</v>
      </c>
      <c r="N26" s="228"/>
      <c r="O26" s="297">
        <f t="shared" si="9"/>
        <v>4886.867917046151</v>
      </c>
      <c r="P26" s="133">
        <f t="shared" si="6"/>
        <v>1082</v>
      </c>
      <c r="Q26" s="358" t="s">
        <v>336</v>
      </c>
      <c r="R26" s="359" t="s">
        <v>336</v>
      </c>
      <c r="S26" s="90"/>
      <c r="T26" s="218"/>
      <c r="U26" s="228"/>
      <c r="V26" s="228"/>
      <c r="W26" s="219"/>
      <c r="X26" s="279"/>
      <c r="Z26" s="196"/>
      <c r="AA26" s="314"/>
      <c r="AB26" s="92"/>
      <c r="AC26" s="92"/>
      <c r="AD26" s="315"/>
      <c r="AE26" s="93"/>
      <c r="AF26" s="315"/>
      <c r="AG26" s="315"/>
      <c r="AH26" s="314"/>
      <c r="AI26" s="92"/>
    </row>
    <row r="27" spans="1:35" s="88" customFormat="1">
      <c r="A27" s="137">
        <v>19</v>
      </c>
      <c r="B27" s="88" t="s">
        <v>210</v>
      </c>
      <c r="C27" s="331">
        <v>19967</v>
      </c>
      <c r="D27" s="343">
        <v>15551</v>
      </c>
      <c r="E27" s="252">
        <v>9709</v>
      </c>
      <c r="F27" s="195">
        <f t="shared" si="0"/>
        <v>6.7124487613184859E-3</v>
      </c>
      <c r="G27" s="241">
        <v>7883</v>
      </c>
      <c r="H27" s="195">
        <f t="shared" si="1"/>
        <v>3.2474086231201651E-3</v>
      </c>
      <c r="I27" s="330">
        <f t="shared" si="4"/>
        <v>17592</v>
      </c>
      <c r="J27" s="332">
        <f t="shared" si="5"/>
        <v>17703</v>
      </c>
      <c r="K27" s="197">
        <f t="shared" si="2"/>
        <v>4.1490518093597059E-3</v>
      </c>
      <c r="L27" s="91">
        <f t="shared" si="7"/>
        <v>3782</v>
      </c>
      <c r="M27" s="228">
        <f t="shared" si="8"/>
        <v>1600</v>
      </c>
      <c r="N27" s="228"/>
      <c r="O27" s="297">
        <f t="shared" si="9"/>
        <v>2182</v>
      </c>
      <c r="P27" s="133">
        <f t="shared" si="6"/>
        <v>859</v>
      </c>
      <c r="Q27" s="93">
        <f t="shared" si="3"/>
        <v>145</v>
      </c>
      <c r="R27" s="201">
        <f t="shared" ref="R27:R39" si="11">(O27-W27)/W27</f>
        <v>7.1183112420225819E-2</v>
      </c>
      <c r="S27" s="90"/>
      <c r="T27" s="218">
        <v>3537</v>
      </c>
      <c r="U27" s="228">
        <v>1500</v>
      </c>
      <c r="V27" s="228"/>
      <c r="W27" s="219">
        <v>2037</v>
      </c>
      <c r="X27" s="279">
        <v>820</v>
      </c>
      <c r="Z27" s="196"/>
      <c r="AA27" s="314"/>
      <c r="AB27" s="92"/>
      <c r="AC27" s="92"/>
      <c r="AD27" s="315"/>
      <c r="AE27" s="93"/>
      <c r="AF27" s="315"/>
      <c r="AG27" s="315"/>
      <c r="AH27" s="314"/>
      <c r="AI27" s="92"/>
    </row>
    <row r="28" spans="1:35" s="88" customFormat="1">
      <c r="A28" s="137">
        <v>20</v>
      </c>
      <c r="B28" s="88" t="s">
        <v>211</v>
      </c>
      <c r="C28" s="331">
        <v>28148</v>
      </c>
      <c r="D28" s="343">
        <v>17819</v>
      </c>
      <c r="E28" s="252">
        <v>8754</v>
      </c>
      <c r="F28" s="195">
        <f t="shared" si="0"/>
        <v>6.0521965657206736E-3</v>
      </c>
      <c r="G28" s="241">
        <v>7696</v>
      </c>
      <c r="H28" s="195">
        <f t="shared" si="1"/>
        <v>3.1703738124486606E-3</v>
      </c>
      <c r="I28" s="330">
        <f t="shared" si="4"/>
        <v>16450</v>
      </c>
      <c r="J28" s="332">
        <f t="shared" si="5"/>
        <v>20806</v>
      </c>
      <c r="K28" s="197">
        <f t="shared" si="2"/>
        <v>4.876301866663167E-3</v>
      </c>
      <c r="L28" s="91">
        <f t="shared" si="7"/>
        <v>4444</v>
      </c>
      <c r="M28" s="228">
        <f t="shared" si="8"/>
        <v>1600</v>
      </c>
      <c r="N28" s="228"/>
      <c r="O28" s="297">
        <f t="shared" si="9"/>
        <v>2844</v>
      </c>
      <c r="P28" s="133">
        <f t="shared" si="6"/>
        <v>1009</v>
      </c>
      <c r="Q28" s="93">
        <f t="shared" si="3"/>
        <v>-199</v>
      </c>
      <c r="R28" s="201">
        <f t="shared" si="11"/>
        <v>-6.5395990798554057E-2</v>
      </c>
      <c r="S28" s="90"/>
      <c r="T28" s="218">
        <v>4543</v>
      </c>
      <c r="U28" s="228">
        <v>1500</v>
      </c>
      <c r="V28" s="228"/>
      <c r="W28" s="219">
        <v>3043</v>
      </c>
      <c r="X28" s="279">
        <v>1053</v>
      </c>
      <c r="Z28" s="196"/>
      <c r="AA28" s="314"/>
      <c r="AB28" s="92"/>
      <c r="AC28" s="92"/>
      <c r="AD28" s="315"/>
      <c r="AE28" s="93"/>
      <c r="AF28" s="315"/>
      <c r="AG28" s="315"/>
      <c r="AH28" s="314"/>
      <c r="AI28" s="92"/>
    </row>
    <row r="29" spans="1:35" s="88" customFormat="1">
      <c r="A29" s="137">
        <v>21</v>
      </c>
      <c r="B29" s="145" t="s">
        <v>379</v>
      </c>
      <c r="C29" s="331">
        <v>50000</v>
      </c>
      <c r="D29" s="343">
        <v>50000</v>
      </c>
      <c r="E29" s="252">
        <v>29254</v>
      </c>
      <c r="F29" s="195">
        <f t="shared" si="0"/>
        <v>2.0225149455516633E-2</v>
      </c>
      <c r="G29" s="241">
        <v>29297</v>
      </c>
      <c r="H29" s="195">
        <f t="shared" si="1"/>
        <v>1.2068924322155459E-2</v>
      </c>
      <c r="I29" s="330">
        <f>E29+G29</f>
        <v>58551</v>
      </c>
      <c r="J29" s="332">
        <f t="shared" si="5"/>
        <v>52850</v>
      </c>
      <c r="K29" s="360">
        <f t="shared" si="2"/>
        <v>1.2386453602477572E-2</v>
      </c>
      <c r="L29" s="91">
        <f>ROUND(K29*$G$5,0)</f>
        <v>11289</v>
      </c>
      <c r="M29" s="228">
        <f>IF(L29&lt;($M$2*2), L29/2,$M$2)</f>
        <v>1600</v>
      </c>
      <c r="N29" s="228"/>
      <c r="O29" s="297">
        <f>L29-M29-N29</f>
        <v>9689</v>
      </c>
      <c r="P29" s="297">
        <f>ROUND(K29*$H$5,0)</f>
        <v>2564</v>
      </c>
      <c r="Q29" s="358" t="s">
        <v>336</v>
      </c>
      <c r="R29" s="359" t="s">
        <v>336</v>
      </c>
      <c r="S29" s="90"/>
      <c r="T29" s="218"/>
      <c r="U29" s="228"/>
      <c r="V29" s="228"/>
      <c r="W29" s="219"/>
      <c r="X29" s="279"/>
      <c r="Z29" s="196"/>
      <c r="AA29" s="314"/>
      <c r="AB29" s="92"/>
      <c r="AC29" s="92"/>
      <c r="AD29" s="315"/>
      <c r="AE29" s="93"/>
      <c r="AF29" s="315"/>
      <c r="AG29" s="315"/>
      <c r="AH29" s="314"/>
      <c r="AI29" s="92"/>
    </row>
    <row r="30" spans="1:35" s="88" customFormat="1" ht="12" customHeight="1">
      <c r="A30" s="137">
        <v>22</v>
      </c>
      <c r="B30" s="88" t="s">
        <v>167</v>
      </c>
      <c r="C30" s="331">
        <v>985034</v>
      </c>
      <c r="D30" s="343">
        <v>522474</v>
      </c>
      <c r="E30" s="252">
        <v>139092</v>
      </c>
      <c r="F30" s="195">
        <f t="shared" si="0"/>
        <v>9.6163139675487772E-2</v>
      </c>
      <c r="G30" s="241">
        <v>416314</v>
      </c>
      <c r="H30" s="195">
        <f t="shared" si="1"/>
        <v>0.17150090999944798</v>
      </c>
      <c r="I30" s="330">
        <f t="shared" si="4"/>
        <v>555406</v>
      </c>
      <c r="J30" s="332">
        <f t="shared" si="5"/>
        <v>687638</v>
      </c>
      <c r="K30" s="197">
        <f t="shared" si="2"/>
        <v>0.16116170638222277</v>
      </c>
      <c r="L30" s="91">
        <f t="shared" si="7"/>
        <v>146885</v>
      </c>
      <c r="M30" s="228">
        <f t="shared" si="8"/>
        <v>1600</v>
      </c>
      <c r="N30" s="292">
        <f>K68*M3</f>
        <v>11155.466257633878</v>
      </c>
      <c r="O30" s="297">
        <f t="shared" si="9"/>
        <v>134129.53374236613</v>
      </c>
      <c r="P30" s="133">
        <f t="shared" si="6"/>
        <v>33360</v>
      </c>
      <c r="Q30" s="93">
        <f t="shared" si="3"/>
        <v>-9069.0907109609689</v>
      </c>
      <c r="R30" s="201">
        <f t="shared" si="11"/>
        <v>-6.3332247398206462E-2</v>
      </c>
      <c r="S30" s="90"/>
      <c r="T30" s="218">
        <v>156204</v>
      </c>
      <c r="U30" s="228">
        <v>1500</v>
      </c>
      <c r="V30" s="228">
        <v>11505.375546672905</v>
      </c>
      <c r="W30" s="219">
        <v>143198.62445332709</v>
      </c>
      <c r="X30" s="279">
        <v>36205</v>
      </c>
      <c r="Z30" s="196"/>
      <c r="AA30" s="314"/>
      <c r="AB30" s="92"/>
      <c r="AC30" s="92"/>
      <c r="AD30" s="315"/>
      <c r="AE30" s="93"/>
      <c r="AF30" s="315"/>
      <c r="AG30" s="315"/>
      <c r="AH30" s="314"/>
      <c r="AI30" s="92"/>
    </row>
    <row r="31" spans="1:35" s="88" customFormat="1">
      <c r="A31" s="137">
        <v>23</v>
      </c>
      <c r="B31" s="88" t="s">
        <v>212</v>
      </c>
      <c r="C31" s="331">
        <v>89922</v>
      </c>
      <c r="D31" s="343">
        <v>56558</v>
      </c>
      <c r="E31" s="252">
        <v>25817</v>
      </c>
      <c r="F31" s="195">
        <f t="shared" si="0"/>
        <v>1.784893291492011E-2</v>
      </c>
      <c r="G31" s="241">
        <v>39283</v>
      </c>
      <c r="H31" s="195">
        <f t="shared" si="1"/>
        <v>1.6182665602185647E-2</v>
      </c>
      <c r="I31" s="330">
        <f t="shared" si="4"/>
        <v>65100</v>
      </c>
      <c r="J31" s="332">
        <f t="shared" si="5"/>
        <v>70527</v>
      </c>
      <c r="K31" s="197">
        <f t="shared" si="2"/>
        <v>1.6529411792278823E-2</v>
      </c>
      <c r="L31" s="91">
        <f t="shared" si="7"/>
        <v>15065</v>
      </c>
      <c r="M31" s="228">
        <f t="shared" si="8"/>
        <v>1600</v>
      </c>
      <c r="N31" s="228"/>
      <c r="O31" s="297">
        <f t="shared" si="9"/>
        <v>13465</v>
      </c>
      <c r="P31" s="133">
        <f t="shared" si="6"/>
        <v>3422</v>
      </c>
      <c r="Q31" s="93">
        <f t="shared" si="3"/>
        <v>-26</v>
      </c>
      <c r="R31" s="201">
        <f t="shared" si="11"/>
        <v>-1.9272107330813135E-3</v>
      </c>
      <c r="S31" s="90"/>
      <c r="T31" s="218">
        <v>14991</v>
      </c>
      <c r="U31" s="228">
        <v>1500</v>
      </c>
      <c r="V31" s="228"/>
      <c r="W31" s="219">
        <v>13491</v>
      </c>
      <c r="X31" s="279">
        <v>3475</v>
      </c>
      <c r="Z31" s="196"/>
      <c r="AA31" s="314"/>
      <c r="AB31" s="92"/>
      <c r="AC31" s="92"/>
      <c r="AD31" s="315"/>
      <c r="AE31" s="93"/>
      <c r="AF31" s="315"/>
      <c r="AG31" s="315"/>
      <c r="AH31" s="314"/>
      <c r="AI31" s="92"/>
    </row>
    <row r="32" spans="1:35" s="88" customFormat="1">
      <c r="A32" s="137">
        <v>24</v>
      </c>
      <c r="B32" s="88" t="s">
        <v>213</v>
      </c>
      <c r="C32" s="331">
        <v>21435</v>
      </c>
      <c r="D32" s="343">
        <v>15945</v>
      </c>
      <c r="E32" s="252">
        <v>7436</v>
      </c>
      <c r="F32" s="195">
        <f t="shared" si="0"/>
        <v>5.1409793994401341E-3</v>
      </c>
      <c r="G32" s="241">
        <v>11661</v>
      </c>
      <c r="H32" s="195">
        <f t="shared" si="1"/>
        <v>4.8037589692000822E-3</v>
      </c>
      <c r="I32" s="330">
        <f t="shared" si="4"/>
        <v>19097</v>
      </c>
      <c r="J32" s="332">
        <f t="shared" si="5"/>
        <v>18826</v>
      </c>
      <c r="K32" s="197">
        <f t="shared" si="2"/>
        <v>4.4122493002884157E-3</v>
      </c>
      <c r="L32" s="91">
        <f t="shared" si="7"/>
        <v>4021</v>
      </c>
      <c r="M32" s="228">
        <f t="shared" si="8"/>
        <v>1600</v>
      </c>
      <c r="N32" s="228"/>
      <c r="O32" s="297">
        <f t="shared" si="9"/>
        <v>2421</v>
      </c>
      <c r="P32" s="133">
        <f t="shared" si="6"/>
        <v>913</v>
      </c>
      <c r="Q32" s="93">
        <f t="shared" si="3"/>
        <v>206</v>
      </c>
      <c r="R32" s="201">
        <f t="shared" si="11"/>
        <v>9.3002257336343111E-2</v>
      </c>
      <c r="S32" s="90"/>
      <c r="T32" s="218">
        <v>3715</v>
      </c>
      <c r="U32" s="228">
        <v>1500</v>
      </c>
      <c r="V32" s="228"/>
      <c r="W32" s="219">
        <v>2215</v>
      </c>
      <c r="X32" s="279">
        <v>861</v>
      </c>
      <c r="Z32" s="196"/>
      <c r="AA32" s="314"/>
      <c r="AB32" s="92"/>
      <c r="AC32" s="92"/>
      <c r="AD32" s="315"/>
      <c r="AE32" s="93"/>
      <c r="AF32" s="315"/>
      <c r="AG32" s="315"/>
      <c r="AH32" s="314"/>
      <c r="AI32" s="92"/>
    </row>
    <row r="33" spans="1:35" s="88" customFormat="1">
      <c r="A33" s="137">
        <v>25</v>
      </c>
      <c r="B33" s="145" t="s">
        <v>337</v>
      </c>
      <c r="C33" s="331">
        <v>12000</v>
      </c>
      <c r="D33" s="343">
        <v>14730</v>
      </c>
      <c r="E33" s="252">
        <v>9395</v>
      </c>
      <c r="F33" s="195">
        <f t="shared" si="0"/>
        <v>6.4953606048601476E-3</v>
      </c>
      <c r="G33" s="241">
        <v>3973</v>
      </c>
      <c r="H33" s="195">
        <f t="shared" si="1"/>
        <v>1.6366807636250687E-3</v>
      </c>
      <c r="I33" s="330">
        <f>E33+G33</f>
        <v>13368</v>
      </c>
      <c r="J33" s="332">
        <f t="shared" si="5"/>
        <v>13366</v>
      </c>
      <c r="K33" s="360">
        <f t="shared" si="2"/>
        <v>3.1325891930125871E-3</v>
      </c>
      <c r="L33" s="91">
        <f>ROUND(K33*$G$5,0)</f>
        <v>2855</v>
      </c>
      <c r="M33" s="228">
        <f>IF(L33&lt;($M$2*2), L33/2,$M$2)</f>
        <v>1427.5</v>
      </c>
      <c r="N33" s="228"/>
      <c r="O33" s="297">
        <f>L33-M33-N33</f>
        <v>1427.5</v>
      </c>
      <c r="P33" s="297">
        <f>ROUND(K33*$H$5,0)</f>
        <v>648</v>
      </c>
      <c r="Q33" s="93">
        <f t="shared" si="3"/>
        <v>79.5</v>
      </c>
      <c r="R33" s="201">
        <f t="shared" si="11"/>
        <v>5.8976261127596442E-2</v>
      </c>
      <c r="S33" s="90"/>
      <c r="T33" s="218">
        <v>2696</v>
      </c>
      <c r="U33" s="228">
        <v>1348</v>
      </c>
      <c r="V33" s="228"/>
      <c r="W33" s="219">
        <v>1348</v>
      </c>
      <c r="X33" s="279">
        <v>625</v>
      </c>
      <c r="Z33" s="196"/>
      <c r="AA33" s="314"/>
      <c r="AB33" s="92"/>
      <c r="AC33" s="92"/>
      <c r="AD33" s="315"/>
      <c r="AE33" s="93"/>
      <c r="AF33" s="315"/>
      <c r="AG33" s="315"/>
      <c r="AH33" s="314"/>
      <c r="AI33" s="92"/>
    </row>
    <row r="34" spans="1:35" s="88" customFormat="1">
      <c r="A34" s="137">
        <v>26</v>
      </c>
      <c r="B34" s="88" t="s">
        <v>214</v>
      </c>
      <c r="C34" s="331">
        <v>45459</v>
      </c>
      <c r="D34" s="343">
        <v>29469</v>
      </c>
      <c r="E34" s="252">
        <v>14666</v>
      </c>
      <c r="F34" s="195">
        <f t="shared" si="0"/>
        <v>1.0139537906426709E-2</v>
      </c>
      <c r="G34" s="241">
        <v>20390</v>
      </c>
      <c r="H34" s="195">
        <f t="shared" si="1"/>
        <v>8.3996780192084446E-3</v>
      </c>
      <c r="I34" s="330">
        <f t="shared" si="4"/>
        <v>35056</v>
      </c>
      <c r="J34" s="332">
        <f t="shared" si="5"/>
        <v>36661</v>
      </c>
      <c r="K34" s="197">
        <f t="shared" si="2"/>
        <v>8.5922379474064389E-3</v>
      </c>
      <c r="L34" s="91">
        <f t="shared" si="7"/>
        <v>7831</v>
      </c>
      <c r="M34" s="228">
        <f t="shared" si="8"/>
        <v>1600</v>
      </c>
      <c r="N34" s="228"/>
      <c r="O34" s="297">
        <f t="shared" si="9"/>
        <v>6231</v>
      </c>
      <c r="P34" s="133">
        <f t="shared" si="6"/>
        <v>1779</v>
      </c>
      <c r="Q34" s="93">
        <f t="shared" si="3"/>
        <v>465</v>
      </c>
      <c r="R34" s="201">
        <f t="shared" si="11"/>
        <v>8.0645161290322578E-2</v>
      </c>
      <c r="S34" s="90"/>
      <c r="T34" s="218">
        <v>7266</v>
      </c>
      <c r="U34" s="228">
        <v>1500</v>
      </c>
      <c r="V34" s="228"/>
      <c r="W34" s="219">
        <v>5766</v>
      </c>
      <c r="X34" s="279">
        <v>1684</v>
      </c>
      <c r="Z34" s="196"/>
      <c r="AA34" s="314"/>
      <c r="AB34" s="92"/>
      <c r="AC34" s="92"/>
      <c r="AD34" s="315"/>
      <c r="AE34" s="93"/>
      <c r="AF34" s="315"/>
      <c r="AG34" s="315"/>
      <c r="AH34" s="314"/>
      <c r="AI34" s="92"/>
    </row>
    <row r="35" spans="1:35" s="88" customFormat="1">
      <c r="A35" s="137">
        <v>27</v>
      </c>
      <c r="B35" s="88" t="s">
        <v>215</v>
      </c>
      <c r="C35" s="331">
        <v>58610</v>
      </c>
      <c r="D35" s="343">
        <v>37779</v>
      </c>
      <c r="E35" s="252">
        <v>18090</v>
      </c>
      <c r="F35" s="195">
        <f t="shared" si="0"/>
        <v>1.2506766720800432E-2</v>
      </c>
      <c r="G35" s="241">
        <v>21336</v>
      </c>
      <c r="H35" s="195">
        <f t="shared" si="1"/>
        <v>8.7893835320172319E-3</v>
      </c>
      <c r="I35" s="330">
        <f t="shared" si="4"/>
        <v>39426</v>
      </c>
      <c r="J35" s="332">
        <f t="shared" si="5"/>
        <v>45272</v>
      </c>
      <c r="K35" s="197">
        <f t="shared" si="2"/>
        <v>1.061039787117057E-2</v>
      </c>
      <c r="L35" s="91">
        <f t="shared" si="7"/>
        <v>9670</v>
      </c>
      <c r="M35" s="228">
        <f t="shared" si="8"/>
        <v>1600</v>
      </c>
      <c r="N35" s="228"/>
      <c r="O35" s="297">
        <f t="shared" si="9"/>
        <v>8070</v>
      </c>
      <c r="P35" s="133">
        <f t="shared" si="6"/>
        <v>2196</v>
      </c>
      <c r="Q35" s="93">
        <f t="shared" si="3"/>
        <v>-157</v>
      </c>
      <c r="R35" s="201">
        <f t="shared" si="11"/>
        <v>-1.9083505530570075E-2</v>
      </c>
      <c r="S35" s="90"/>
      <c r="T35" s="218">
        <v>9727</v>
      </c>
      <c r="U35" s="228">
        <v>1500</v>
      </c>
      <c r="V35" s="228"/>
      <c r="W35" s="219">
        <v>8227</v>
      </c>
      <c r="X35" s="279">
        <v>2254</v>
      </c>
      <c r="Z35" s="196"/>
      <c r="AA35" s="314"/>
      <c r="AB35" s="92"/>
      <c r="AC35" s="92"/>
      <c r="AD35" s="315"/>
      <c r="AE35" s="93"/>
      <c r="AF35" s="315"/>
      <c r="AG35" s="315"/>
      <c r="AH35" s="314"/>
      <c r="AI35" s="92"/>
    </row>
    <row r="36" spans="1:35" s="88" customFormat="1">
      <c r="A36" s="137">
        <v>28</v>
      </c>
      <c r="B36" s="88" t="s">
        <v>170</v>
      </c>
      <c r="C36" s="331">
        <v>28283</v>
      </c>
      <c r="D36" s="343">
        <v>21320</v>
      </c>
      <c r="E36" s="252">
        <v>8504</v>
      </c>
      <c r="F36" s="195">
        <f t="shared" si="0"/>
        <v>5.8793556768207229E-3</v>
      </c>
      <c r="G36" s="241">
        <v>10348</v>
      </c>
      <c r="H36" s="195">
        <f t="shared" si="1"/>
        <v>4.2628674910627261E-3</v>
      </c>
      <c r="I36" s="330">
        <f t="shared" si="4"/>
        <v>18852</v>
      </c>
      <c r="J36" s="332">
        <f t="shared" si="5"/>
        <v>22818</v>
      </c>
      <c r="K36" s="197">
        <f t="shared" si="2"/>
        <v>5.3478542724944792E-3</v>
      </c>
      <c r="L36" s="91">
        <f t="shared" si="7"/>
        <v>4874</v>
      </c>
      <c r="M36" s="228">
        <f t="shared" si="8"/>
        <v>1600</v>
      </c>
      <c r="N36" s="228"/>
      <c r="O36" s="297">
        <f t="shared" si="9"/>
        <v>3274</v>
      </c>
      <c r="P36" s="133">
        <f t="shared" si="6"/>
        <v>1107</v>
      </c>
      <c r="Q36" s="93">
        <f t="shared" si="3"/>
        <v>-64</v>
      </c>
      <c r="R36" s="201">
        <f t="shared" si="11"/>
        <v>-1.9173157579388856E-2</v>
      </c>
      <c r="S36" s="90"/>
      <c r="T36" s="218">
        <v>4838</v>
      </c>
      <c r="U36" s="228">
        <v>1500</v>
      </c>
      <c r="V36" s="228"/>
      <c r="W36" s="219">
        <v>3338</v>
      </c>
      <c r="X36" s="279">
        <v>1121</v>
      </c>
      <c r="Z36" s="196"/>
      <c r="AA36" s="314"/>
      <c r="AB36" s="92"/>
      <c r="AC36" s="92"/>
      <c r="AD36" s="315"/>
      <c r="AE36" s="93"/>
      <c r="AF36" s="315"/>
      <c r="AG36" s="315"/>
      <c r="AH36" s="314"/>
      <c r="AI36" s="92"/>
    </row>
    <row r="37" spans="1:35" s="88" customFormat="1">
      <c r="A37" s="137">
        <v>29</v>
      </c>
      <c r="B37" s="145" t="s">
        <v>216</v>
      </c>
      <c r="C37" s="331">
        <v>77942</v>
      </c>
      <c r="D37" s="343">
        <v>56529</v>
      </c>
      <c r="E37" s="252">
        <v>32557</v>
      </c>
      <c r="F37" s="195">
        <f t="shared" si="0"/>
        <v>2.250872327966278E-2</v>
      </c>
      <c r="G37" s="241">
        <v>24845</v>
      </c>
      <c r="H37" s="195">
        <f t="shared" si="1"/>
        <v>1.023491909697076E-2</v>
      </c>
      <c r="I37" s="330">
        <f t="shared" si="4"/>
        <v>57402</v>
      </c>
      <c r="J37" s="332">
        <f t="shared" si="5"/>
        <v>63958</v>
      </c>
      <c r="K37" s="197">
        <f t="shared" si="2"/>
        <v>1.4989835373836529E-2</v>
      </c>
      <c r="L37" s="91">
        <f t="shared" si="7"/>
        <v>13662</v>
      </c>
      <c r="M37" s="228">
        <f t="shared" si="8"/>
        <v>1600</v>
      </c>
      <c r="N37" s="228"/>
      <c r="O37" s="297">
        <f t="shared" si="9"/>
        <v>12062</v>
      </c>
      <c r="P37" s="133">
        <f t="shared" si="6"/>
        <v>3103</v>
      </c>
      <c r="Q37" s="93">
        <f t="shared" si="3"/>
        <v>327</v>
      </c>
      <c r="R37" s="201">
        <f t="shared" si="11"/>
        <v>2.7865360034086066E-2</v>
      </c>
      <c r="S37" s="90"/>
      <c r="T37" s="218">
        <v>13235</v>
      </c>
      <c r="U37" s="228">
        <v>1500</v>
      </c>
      <c r="V37" s="228"/>
      <c r="W37" s="219">
        <v>11735</v>
      </c>
      <c r="X37" s="279">
        <v>3068</v>
      </c>
      <c r="Z37" s="196"/>
      <c r="AA37" s="314"/>
      <c r="AB37" s="92"/>
      <c r="AC37" s="92"/>
      <c r="AD37" s="315"/>
      <c r="AE37" s="93"/>
      <c r="AF37" s="315"/>
      <c r="AG37" s="315"/>
      <c r="AH37" s="314"/>
      <c r="AI37" s="92"/>
    </row>
    <row r="38" spans="1:35" s="88" customFormat="1">
      <c r="A38" s="137">
        <v>30</v>
      </c>
      <c r="B38" s="88" t="s">
        <v>171</v>
      </c>
      <c r="C38" s="331">
        <v>289204</v>
      </c>
      <c r="D38" s="343">
        <v>185580</v>
      </c>
      <c r="E38" s="252">
        <v>60551</v>
      </c>
      <c r="F38" s="195">
        <f t="shared" si="0"/>
        <v>4.1862754655123659E-2</v>
      </c>
      <c r="G38" s="241">
        <v>139993</v>
      </c>
      <c r="H38" s="195">
        <f t="shared" si="1"/>
        <v>5.7670236632812545E-2</v>
      </c>
      <c r="I38" s="330">
        <f t="shared" si="4"/>
        <v>200544</v>
      </c>
      <c r="J38" s="332">
        <f t="shared" si="5"/>
        <v>225109</v>
      </c>
      <c r="K38" s="197">
        <f t="shared" si="2"/>
        <v>5.2758792507097897E-2</v>
      </c>
      <c r="L38" s="91">
        <f t="shared" si="7"/>
        <v>48085</v>
      </c>
      <c r="M38" s="228">
        <f t="shared" si="8"/>
        <v>1600</v>
      </c>
      <c r="N38" s="228"/>
      <c r="O38" s="297">
        <f t="shared" si="9"/>
        <v>46485</v>
      </c>
      <c r="P38" s="133">
        <f t="shared" si="6"/>
        <v>10921</v>
      </c>
      <c r="Q38" s="93">
        <f t="shared" si="3"/>
        <v>-69</v>
      </c>
      <c r="R38" s="201">
        <f t="shared" si="11"/>
        <v>-1.4821497615672122E-3</v>
      </c>
      <c r="S38" s="90"/>
      <c r="T38" s="218">
        <v>48054</v>
      </c>
      <c r="U38" s="228">
        <v>1500</v>
      </c>
      <c r="V38" s="228"/>
      <c r="W38" s="219">
        <v>46554</v>
      </c>
      <c r="X38" s="279">
        <v>11138</v>
      </c>
      <c r="Z38" s="196"/>
      <c r="AA38" s="314"/>
      <c r="AB38" s="92"/>
      <c r="AC38" s="92"/>
      <c r="AD38" s="315"/>
      <c r="AE38" s="93"/>
      <c r="AF38" s="315"/>
      <c r="AG38" s="315"/>
      <c r="AH38" s="314"/>
      <c r="AI38" s="92"/>
    </row>
    <row r="39" spans="1:35" s="88" customFormat="1">
      <c r="A39" s="137">
        <v>31</v>
      </c>
      <c r="B39" s="145" t="s">
        <v>217</v>
      </c>
      <c r="C39" s="331">
        <v>145655</v>
      </c>
      <c r="D39" s="343">
        <v>95735</v>
      </c>
      <c r="E39" s="252">
        <v>42503</v>
      </c>
      <c r="F39" s="195">
        <f t="shared" si="0"/>
        <v>2.9385025203658419E-2</v>
      </c>
      <c r="G39" s="241">
        <v>49634</v>
      </c>
      <c r="H39" s="195">
        <f t="shared" si="1"/>
        <v>2.0446768945825991E-2</v>
      </c>
      <c r="I39" s="330">
        <f t="shared" si="4"/>
        <v>92137</v>
      </c>
      <c r="J39" s="332">
        <f t="shared" si="5"/>
        <v>111176</v>
      </c>
      <c r="K39" s="197">
        <f t="shared" si="2"/>
        <v>2.6056317231959253E-2</v>
      </c>
      <c r="L39" s="91">
        <f t="shared" si="7"/>
        <v>23748</v>
      </c>
      <c r="M39" s="228">
        <f t="shared" si="8"/>
        <v>1600</v>
      </c>
      <c r="N39" s="228"/>
      <c r="O39" s="297">
        <f t="shared" si="9"/>
        <v>22148</v>
      </c>
      <c r="P39" s="133">
        <f t="shared" ref="P39:P60" si="12">ROUND(K39*$H$5,0)</f>
        <v>5394</v>
      </c>
      <c r="Q39" s="93">
        <f t="shared" si="3"/>
        <v>340</v>
      </c>
      <c r="R39" s="201">
        <f t="shared" si="11"/>
        <v>1.5590608950843727E-2</v>
      </c>
      <c r="S39" s="90"/>
      <c r="T39" s="218">
        <v>23308</v>
      </c>
      <c r="U39" s="228">
        <v>1500</v>
      </c>
      <c r="V39" s="228"/>
      <c r="W39" s="219">
        <v>21808</v>
      </c>
      <c r="X39" s="279">
        <v>5402</v>
      </c>
      <c r="Z39" s="196"/>
      <c r="AA39" s="314"/>
      <c r="AB39" s="92"/>
      <c r="AC39" s="92"/>
      <c r="AD39" s="315"/>
      <c r="AE39" s="93"/>
      <c r="AF39" s="315"/>
      <c r="AG39" s="315"/>
      <c r="AH39" s="314"/>
      <c r="AI39" s="92"/>
    </row>
    <row r="40" spans="1:35" s="88" customFormat="1">
      <c r="A40" s="137">
        <v>32</v>
      </c>
      <c r="B40" s="88" t="s">
        <v>218</v>
      </c>
      <c r="C40" s="331">
        <v>41778</v>
      </c>
      <c r="D40" s="343">
        <v>39524</v>
      </c>
      <c r="E40" s="252">
        <v>20219</v>
      </c>
      <c r="F40" s="195">
        <f t="shared" si="0"/>
        <v>1.3978679730672414E-2</v>
      </c>
      <c r="G40" s="241">
        <v>25219</v>
      </c>
      <c r="H40" s="195">
        <f t="shared" si="1"/>
        <v>1.038898871831377E-2</v>
      </c>
      <c r="I40" s="330">
        <f t="shared" si="4"/>
        <v>45438</v>
      </c>
      <c r="J40" s="332">
        <f t="shared" si="5"/>
        <v>42247</v>
      </c>
      <c r="K40" s="197">
        <f t="shared" si="2"/>
        <v>9.9014286725424786E-3</v>
      </c>
      <c r="L40" s="91">
        <f t="shared" si="7"/>
        <v>9024</v>
      </c>
      <c r="M40" s="228">
        <f t="shared" si="8"/>
        <v>1600</v>
      </c>
      <c r="N40" s="228"/>
      <c r="O40" s="297">
        <f t="shared" si="9"/>
        <v>7424</v>
      </c>
      <c r="P40" s="133">
        <f t="shared" si="12"/>
        <v>2050</v>
      </c>
      <c r="Q40" s="93">
        <f t="shared" si="3"/>
        <v>1463</v>
      </c>
      <c r="R40" s="201">
        <f t="shared" ref="R40:R61" si="13">(O40-W40)/W40</f>
        <v>0.24542861935916793</v>
      </c>
      <c r="S40" s="90"/>
      <c r="T40" s="218">
        <v>7461</v>
      </c>
      <c r="U40" s="228">
        <v>1500</v>
      </c>
      <c r="V40" s="228"/>
      <c r="W40" s="219">
        <v>5961</v>
      </c>
      <c r="X40" s="279">
        <v>1729</v>
      </c>
      <c r="Z40" s="196"/>
      <c r="AA40" s="314"/>
      <c r="AB40" s="92"/>
      <c r="AC40" s="92"/>
      <c r="AD40" s="315"/>
      <c r="AE40" s="93"/>
      <c r="AF40" s="315"/>
      <c r="AG40" s="315"/>
      <c r="AH40" s="314"/>
      <c r="AI40" s="92"/>
    </row>
    <row r="41" spans="1:35" s="88" customFormat="1">
      <c r="A41" s="137">
        <v>33</v>
      </c>
      <c r="B41" s="88" t="s">
        <v>172</v>
      </c>
      <c r="C41" s="331">
        <v>324184</v>
      </c>
      <c r="D41" s="343">
        <v>209140</v>
      </c>
      <c r="E41" s="252">
        <v>46927</v>
      </c>
      <c r="F41" s="195">
        <f t="shared" ref="F41:F60" si="14">E41/$E$61</f>
        <v>3.2443617573631948E-2</v>
      </c>
      <c r="G41" s="241">
        <v>166484</v>
      </c>
      <c r="H41" s="195">
        <f t="shared" ref="H41:H60" si="15">G41/$G$61</f>
        <v>6.8583226844036227E-2</v>
      </c>
      <c r="I41" s="330">
        <f t="shared" si="4"/>
        <v>213411</v>
      </c>
      <c r="J41" s="332">
        <f t="shared" si="5"/>
        <v>248912</v>
      </c>
      <c r="K41" s="197">
        <f t="shared" ref="K41:K60" si="16">J41/$J$61</f>
        <v>5.8337501212864663E-2</v>
      </c>
      <c r="L41" s="91">
        <f t="shared" si="7"/>
        <v>53170</v>
      </c>
      <c r="M41" s="228">
        <f t="shared" si="8"/>
        <v>1600</v>
      </c>
      <c r="N41" s="228"/>
      <c r="O41" s="297">
        <f t="shared" si="9"/>
        <v>51570</v>
      </c>
      <c r="P41" s="133">
        <f t="shared" si="12"/>
        <v>12076</v>
      </c>
      <c r="Q41" s="93">
        <f t="shared" si="3"/>
        <v>-1311</v>
      </c>
      <c r="R41" s="201">
        <f t="shared" si="13"/>
        <v>-2.479151301979917E-2</v>
      </c>
      <c r="S41" s="90"/>
      <c r="T41" s="218">
        <v>54381</v>
      </c>
      <c r="U41" s="228">
        <v>1500</v>
      </c>
      <c r="V41" s="228"/>
      <c r="W41" s="219">
        <v>52881</v>
      </c>
      <c r="X41" s="279">
        <v>12604</v>
      </c>
      <c r="Z41" s="196"/>
      <c r="AA41" s="314"/>
      <c r="AB41" s="92"/>
      <c r="AC41" s="92"/>
      <c r="AD41" s="315"/>
      <c r="AE41" s="93"/>
      <c r="AF41" s="315"/>
      <c r="AG41" s="315"/>
      <c r="AH41" s="314"/>
      <c r="AI41" s="92"/>
    </row>
    <row r="42" spans="1:35" s="88" customFormat="1">
      <c r="A42" s="137">
        <v>34</v>
      </c>
      <c r="B42" s="88" t="s">
        <v>219</v>
      </c>
      <c r="C42" s="331">
        <v>38924</v>
      </c>
      <c r="D42" s="343">
        <v>30498</v>
      </c>
      <c r="E42" s="252">
        <v>16832</v>
      </c>
      <c r="F42" s="195">
        <f t="shared" si="14"/>
        <v>1.1637031367855882E-2</v>
      </c>
      <c r="G42" s="241">
        <v>16962</v>
      </c>
      <c r="H42" s="195">
        <f t="shared" si="15"/>
        <v>6.9875104738505956E-3</v>
      </c>
      <c r="I42" s="330">
        <f t="shared" si="4"/>
        <v>33794</v>
      </c>
      <c r="J42" s="332">
        <f t="shared" si="5"/>
        <v>34405</v>
      </c>
      <c r="K42" s="197">
        <f t="shared" si="16"/>
        <v>8.0634992657188428E-3</v>
      </c>
      <c r="L42" s="91">
        <f t="shared" si="7"/>
        <v>7349</v>
      </c>
      <c r="M42" s="228">
        <f t="shared" si="8"/>
        <v>1600</v>
      </c>
      <c r="N42" s="228"/>
      <c r="O42" s="297">
        <f t="shared" si="9"/>
        <v>5749</v>
      </c>
      <c r="P42" s="133">
        <f t="shared" si="12"/>
        <v>1669</v>
      </c>
      <c r="Q42" s="93">
        <f t="shared" si="3"/>
        <v>14</v>
      </c>
      <c r="R42" s="201">
        <f t="shared" si="13"/>
        <v>2.4411508282476025E-3</v>
      </c>
      <c r="S42" s="90"/>
      <c r="T42" s="218">
        <v>7235</v>
      </c>
      <c r="U42" s="228">
        <v>1500</v>
      </c>
      <c r="V42" s="228"/>
      <c r="W42" s="219">
        <v>5735</v>
      </c>
      <c r="X42" s="279">
        <v>1677</v>
      </c>
      <c r="Z42" s="196"/>
      <c r="AA42" s="314"/>
      <c r="AB42" s="92"/>
      <c r="AC42" s="92"/>
      <c r="AD42" s="315"/>
      <c r="AE42" s="93"/>
      <c r="AF42" s="315"/>
      <c r="AG42" s="315"/>
      <c r="AH42" s="314"/>
      <c r="AI42" s="92"/>
    </row>
    <row r="43" spans="1:35" s="88" customFormat="1">
      <c r="A43" s="137">
        <v>35</v>
      </c>
      <c r="B43" s="88" t="s">
        <v>173</v>
      </c>
      <c r="C43" s="331">
        <v>261151</v>
      </c>
      <c r="D43" s="343">
        <v>163562</v>
      </c>
      <c r="E43" s="252">
        <v>54264</v>
      </c>
      <c r="F43" s="195">
        <f t="shared" si="14"/>
        <v>3.7516151981067704E-2</v>
      </c>
      <c r="G43" s="241">
        <v>135012</v>
      </c>
      <c r="H43" s="195">
        <f t="shared" si="15"/>
        <v>5.561830940310792E-2</v>
      </c>
      <c r="I43" s="330">
        <f t="shared" si="4"/>
        <v>189276</v>
      </c>
      <c r="J43" s="332">
        <f t="shared" si="5"/>
        <v>204663</v>
      </c>
      <c r="K43" s="197">
        <f t="shared" si="16"/>
        <v>4.7966863834321048E-2</v>
      </c>
      <c r="L43" s="91">
        <f t="shared" si="7"/>
        <v>43718</v>
      </c>
      <c r="M43" s="228">
        <f t="shared" si="8"/>
        <v>1600</v>
      </c>
      <c r="N43" s="228"/>
      <c r="O43" s="297">
        <f t="shared" si="9"/>
        <v>42118</v>
      </c>
      <c r="P43" s="133">
        <f t="shared" si="12"/>
        <v>9929</v>
      </c>
      <c r="Q43" s="93">
        <f t="shared" si="3"/>
        <v>1655</v>
      </c>
      <c r="R43" s="201">
        <f t="shared" si="13"/>
        <v>4.0901564392160743E-2</v>
      </c>
      <c r="S43" s="90"/>
      <c r="T43" s="218">
        <v>41963</v>
      </c>
      <c r="U43" s="228">
        <v>1500</v>
      </c>
      <c r="V43" s="228"/>
      <c r="W43" s="219">
        <v>40463</v>
      </c>
      <c r="X43" s="279">
        <v>9726</v>
      </c>
      <c r="Z43" s="196"/>
      <c r="AA43" s="314"/>
      <c r="AB43" s="92"/>
      <c r="AC43" s="92"/>
      <c r="AD43" s="315"/>
      <c r="AE43" s="93"/>
      <c r="AF43" s="315"/>
      <c r="AG43" s="315"/>
      <c r="AH43" s="314"/>
      <c r="AI43" s="92"/>
    </row>
    <row r="44" spans="1:35" s="88" customFormat="1">
      <c r="A44" s="137">
        <v>36</v>
      </c>
      <c r="B44" s="145" t="s">
        <v>220</v>
      </c>
      <c r="C44" s="331">
        <v>28936</v>
      </c>
      <c r="D44" s="343">
        <v>24922</v>
      </c>
      <c r="E44" s="252">
        <v>19096</v>
      </c>
      <c r="F44" s="195">
        <f t="shared" si="14"/>
        <v>1.3202278457733835E-2</v>
      </c>
      <c r="G44" s="241">
        <v>5970</v>
      </c>
      <c r="H44" s="195">
        <f t="shared" si="15"/>
        <v>2.4593466294592649E-3</v>
      </c>
      <c r="I44" s="330">
        <f t="shared" si="4"/>
        <v>25066</v>
      </c>
      <c r="J44" s="332">
        <f t="shared" si="5"/>
        <v>26308</v>
      </c>
      <c r="K44" s="197">
        <f t="shared" si="16"/>
        <v>6.1658055132257326E-3</v>
      </c>
      <c r="L44" s="91">
        <f t="shared" si="7"/>
        <v>5620</v>
      </c>
      <c r="M44" s="228">
        <f t="shared" si="8"/>
        <v>1600</v>
      </c>
      <c r="N44" s="228"/>
      <c r="O44" s="297">
        <f t="shared" si="9"/>
        <v>4020</v>
      </c>
      <c r="P44" s="133">
        <f t="shared" si="12"/>
        <v>1276</v>
      </c>
      <c r="Q44" s="93">
        <f t="shared" si="3"/>
        <v>487</v>
      </c>
      <c r="R44" s="201">
        <f t="shared" si="13"/>
        <v>0.13784319275403339</v>
      </c>
      <c r="S44" s="90"/>
      <c r="T44" s="218">
        <v>5033</v>
      </c>
      <c r="U44" s="228">
        <v>1500</v>
      </c>
      <c r="V44" s="228"/>
      <c r="W44" s="219">
        <v>3533</v>
      </c>
      <c r="X44" s="279">
        <v>1167</v>
      </c>
      <c r="Z44" s="196"/>
      <c r="AA44" s="314"/>
      <c r="AB44" s="92"/>
      <c r="AC44" s="92"/>
      <c r="AD44" s="315"/>
      <c r="AE44" s="93"/>
      <c r="AF44" s="315"/>
      <c r="AG44" s="315"/>
      <c r="AH44" s="314"/>
      <c r="AI44" s="92"/>
    </row>
    <row r="45" spans="1:35" s="88" customFormat="1">
      <c r="A45" s="137">
        <v>37</v>
      </c>
      <c r="B45" s="88" t="s">
        <v>221</v>
      </c>
      <c r="C45" s="331">
        <v>98093</v>
      </c>
      <c r="D45" s="343">
        <v>61940</v>
      </c>
      <c r="E45" s="252">
        <v>24646</v>
      </c>
      <c r="F45" s="195">
        <f t="shared" si="14"/>
        <v>1.703934619131274E-2</v>
      </c>
      <c r="G45" s="241">
        <v>36092</v>
      </c>
      <c r="H45" s="195">
        <f t="shared" si="15"/>
        <v>1.4868130410459597E-2</v>
      </c>
      <c r="I45" s="330">
        <f t="shared" si="4"/>
        <v>60738</v>
      </c>
      <c r="J45" s="332">
        <f t="shared" si="5"/>
        <v>73590</v>
      </c>
      <c r="K45" s="197">
        <f t="shared" si="16"/>
        <v>1.724728705026158E-2</v>
      </c>
      <c r="L45" s="91">
        <f t="shared" si="7"/>
        <v>15719</v>
      </c>
      <c r="M45" s="228">
        <f t="shared" si="8"/>
        <v>1600</v>
      </c>
      <c r="N45" s="228"/>
      <c r="O45" s="297">
        <f t="shared" si="9"/>
        <v>14119</v>
      </c>
      <c r="P45" s="133">
        <f t="shared" si="12"/>
        <v>3570</v>
      </c>
      <c r="Q45" s="93">
        <f t="shared" si="3"/>
        <v>198</v>
      </c>
      <c r="R45" s="201">
        <f t="shared" si="13"/>
        <v>1.4223116155448603E-2</v>
      </c>
      <c r="S45" s="90"/>
      <c r="T45" s="218">
        <v>15421</v>
      </c>
      <c r="U45" s="228">
        <v>1500</v>
      </c>
      <c r="V45" s="228"/>
      <c r="W45" s="219">
        <v>13921</v>
      </c>
      <c r="X45" s="279">
        <v>3574</v>
      </c>
      <c r="Z45" s="196"/>
      <c r="AA45" s="314"/>
      <c r="AB45" s="92"/>
      <c r="AC45" s="92"/>
      <c r="AD45" s="315"/>
      <c r="AE45" s="93"/>
      <c r="AF45" s="315"/>
      <c r="AG45" s="315"/>
      <c r="AH45" s="314"/>
      <c r="AI45" s="92"/>
    </row>
    <row r="46" spans="1:35" s="88" customFormat="1">
      <c r="A46" s="137">
        <v>38</v>
      </c>
      <c r="B46" s="88" t="s">
        <v>222</v>
      </c>
      <c r="C46" s="331">
        <v>95551</v>
      </c>
      <c r="D46" s="343">
        <v>74753</v>
      </c>
      <c r="E46" s="252">
        <v>43177</v>
      </c>
      <c r="F46" s="195">
        <f t="shared" si="14"/>
        <v>2.9851004240132685E-2</v>
      </c>
      <c r="G46" s="241">
        <v>40379</v>
      </c>
      <c r="H46" s="195">
        <f t="shared" si="15"/>
        <v>1.6634163743875319E-2</v>
      </c>
      <c r="I46" s="330">
        <f t="shared" si="4"/>
        <v>83556</v>
      </c>
      <c r="J46" s="332">
        <f t="shared" si="5"/>
        <v>84620</v>
      </c>
      <c r="K46" s="197">
        <f t="shared" si="16"/>
        <v>1.9832387962945168E-2</v>
      </c>
      <c r="L46" s="91">
        <f t="shared" si="7"/>
        <v>18076</v>
      </c>
      <c r="M46" s="228">
        <f t="shared" si="8"/>
        <v>1600</v>
      </c>
      <c r="N46" s="228"/>
      <c r="O46" s="297">
        <f t="shared" si="9"/>
        <v>16476</v>
      </c>
      <c r="P46" s="133">
        <f t="shared" si="12"/>
        <v>4105</v>
      </c>
      <c r="Q46" s="93">
        <f t="shared" si="3"/>
        <v>1612</v>
      </c>
      <c r="R46" s="201">
        <f t="shared" si="13"/>
        <v>0.10844994617868677</v>
      </c>
      <c r="S46" s="90"/>
      <c r="T46" s="218">
        <v>16364</v>
      </c>
      <c r="U46" s="228">
        <v>1500</v>
      </c>
      <c r="V46" s="228"/>
      <c r="W46" s="219">
        <v>14864</v>
      </c>
      <c r="X46" s="279">
        <v>3793</v>
      </c>
      <c r="Z46" s="196"/>
      <c r="AA46" s="314"/>
      <c r="AB46" s="92"/>
      <c r="AC46" s="92"/>
      <c r="AD46" s="315"/>
      <c r="AE46" s="93"/>
      <c r="AF46" s="315"/>
      <c r="AG46" s="315"/>
      <c r="AH46" s="314"/>
      <c r="AI46" s="92"/>
    </row>
    <row r="47" spans="1:35" s="88" customFormat="1">
      <c r="A47" s="137">
        <v>39</v>
      </c>
      <c r="B47" s="88" t="s">
        <v>174</v>
      </c>
      <c r="C47" s="331">
        <v>30719</v>
      </c>
      <c r="D47" s="343">
        <v>21737</v>
      </c>
      <c r="E47" s="252">
        <v>14218</v>
      </c>
      <c r="F47" s="195">
        <f t="shared" si="14"/>
        <v>9.8298070335179968E-3</v>
      </c>
      <c r="G47" s="241">
        <v>9057</v>
      </c>
      <c r="H47" s="195">
        <f t="shared" si="15"/>
        <v>3.7310389318279003E-3</v>
      </c>
      <c r="I47" s="330">
        <f t="shared" si="4"/>
        <v>23275</v>
      </c>
      <c r="J47" s="332">
        <f t="shared" si="5"/>
        <v>25244</v>
      </c>
      <c r="K47" s="197">
        <f t="shared" si="16"/>
        <v>5.9164358512950582E-3</v>
      </c>
      <c r="L47" s="91">
        <f t="shared" si="7"/>
        <v>5392</v>
      </c>
      <c r="M47" s="228">
        <f t="shared" si="8"/>
        <v>1600</v>
      </c>
      <c r="N47" s="228"/>
      <c r="O47" s="297">
        <f t="shared" si="9"/>
        <v>3792</v>
      </c>
      <c r="P47" s="133">
        <f t="shared" si="12"/>
        <v>1225</v>
      </c>
      <c r="Q47" s="93">
        <f t="shared" si="3"/>
        <v>238</v>
      </c>
      <c r="R47" s="201">
        <f t="shared" si="13"/>
        <v>6.6966797974113673E-2</v>
      </c>
      <c r="S47" s="90"/>
      <c r="T47" s="218">
        <v>5054</v>
      </c>
      <c r="U47" s="228">
        <v>1500</v>
      </c>
      <c r="V47" s="228"/>
      <c r="W47" s="219">
        <v>3554</v>
      </c>
      <c r="X47" s="279">
        <v>1171</v>
      </c>
      <c r="Z47" s="196"/>
      <c r="AA47" s="314"/>
      <c r="AB47" s="92"/>
      <c r="AC47" s="92"/>
      <c r="AD47" s="315"/>
      <c r="AE47" s="93"/>
      <c r="AF47" s="315"/>
      <c r="AG47" s="315"/>
      <c r="AH47" s="314"/>
      <c r="AI47" s="92"/>
    </row>
    <row r="48" spans="1:35" s="88" customFormat="1">
      <c r="A48" s="137">
        <v>40</v>
      </c>
      <c r="B48" s="145" t="s">
        <v>223</v>
      </c>
      <c r="C48" s="331">
        <v>79515</v>
      </c>
      <c r="D48" s="343">
        <v>49374</v>
      </c>
      <c r="E48" s="252">
        <v>22489</v>
      </c>
      <c r="F48" s="195">
        <f t="shared" si="14"/>
        <v>1.5548075001883965E-2</v>
      </c>
      <c r="G48" s="241">
        <v>33287</v>
      </c>
      <c r="H48" s="195">
        <f t="shared" si="15"/>
        <v>1.3712608250387028E-2</v>
      </c>
      <c r="I48" s="330">
        <f t="shared" si="4"/>
        <v>55776</v>
      </c>
      <c r="J48" s="332">
        <f t="shared" si="5"/>
        <v>61555</v>
      </c>
      <c r="K48" s="197">
        <f t="shared" si="16"/>
        <v>1.4426644304645353E-2</v>
      </c>
      <c r="L48" s="91">
        <f t="shared" si="7"/>
        <v>13149</v>
      </c>
      <c r="M48" s="228">
        <f t="shared" si="8"/>
        <v>1600</v>
      </c>
      <c r="N48" s="228"/>
      <c r="O48" s="297">
        <f t="shared" si="9"/>
        <v>11549</v>
      </c>
      <c r="P48" s="133">
        <f t="shared" si="12"/>
        <v>2986</v>
      </c>
      <c r="Q48" s="93">
        <f t="shared" si="3"/>
        <v>75</v>
      </c>
      <c r="R48" s="201">
        <f t="shared" si="13"/>
        <v>6.5365173435593515E-3</v>
      </c>
      <c r="S48" s="90"/>
      <c r="T48" s="218">
        <v>12974</v>
      </c>
      <c r="U48" s="228">
        <v>1500</v>
      </c>
      <c r="V48" s="228"/>
      <c r="W48" s="219">
        <v>11474</v>
      </c>
      <c r="X48" s="279">
        <v>3007</v>
      </c>
      <c r="Z48" s="196"/>
      <c r="AA48" s="314"/>
      <c r="AB48" s="92"/>
      <c r="AC48" s="92"/>
      <c r="AD48" s="315"/>
      <c r="AE48" s="93"/>
      <c r="AF48" s="315"/>
      <c r="AG48" s="315"/>
      <c r="AH48" s="314"/>
      <c r="AI48" s="92"/>
    </row>
    <row r="49" spans="1:37" s="88" customFormat="1">
      <c r="A49" s="137">
        <v>41</v>
      </c>
      <c r="B49" s="145" t="s">
        <v>224</v>
      </c>
      <c r="C49" s="331">
        <v>39603</v>
      </c>
      <c r="D49" s="343">
        <v>31380</v>
      </c>
      <c r="E49" s="252">
        <v>17905</v>
      </c>
      <c r="F49" s="195">
        <f t="shared" si="14"/>
        <v>1.237886446301447E-2</v>
      </c>
      <c r="G49" s="241">
        <v>18440</v>
      </c>
      <c r="H49" s="195">
        <f t="shared" si="15"/>
        <v>7.5963738437569263E-3</v>
      </c>
      <c r="I49" s="330">
        <f t="shared" si="4"/>
        <v>36345</v>
      </c>
      <c r="J49" s="332">
        <f t="shared" si="5"/>
        <v>35776</v>
      </c>
      <c r="K49" s="197">
        <f t="shared" si="16"/>
        <v>8.3848205124359056E-3</v>
      </c>
      <c r="L49" s="91">
        <f t="shared" si="7"/>
        <v>7642</v>
      </c>
      <c r="M49" s="228">
        <f t="shared" si="8"/>
        <v>1600</v>
      </c>
      <c r="N49" s="228"/>
      <c r="O49" s="297">
        <f t="shared" si="9"/>
        <v>6042</v>
      </c>
      <c r="P49" s="133">
        <f t="shared" si="12"/>
        <v>1736</v>
      </c>
      <c r="Q49" s="93">
        <f t="shared" si="3"/>
        <v>894</v>
      </c>
      <c r="R49" s="201">
        <f t="shared" si="13"/>
        <v>0.17365967365967366</v>
      </c>
      <c r="S49" s="90"/>
      <c r="T49" s="218">
        <v>6648</v>
      </c>
      <c r="U49" s="228">
        <v>1500</v>
      </c>
      <c r="V49" s="228"/>
      <c r="W49" s="219">
        <v>5148</v>
      </c>
      <c r="X49" s="279">
        <v>1541</v>
      </c>
      <c r="Z49" s="196"/>
      <c r="AA49" s="314"/>
      <c r="AB49" s="92"/>
      <c r="AC49" s="92"/>
      <c r="AD49" s="315"/>
      <c r="AE49" s="93"/>
      <c r="AF49" s="315"/>
      <c r="AG49" s="315"/>
      <c r="AH49" s="314"/>
      <c r="AI49" s="92"/>
    </row>
    <row r="50" spans="1:37" s="88" customFormat="1">
      <c r="A50" s="137">
        <v>42</v>
      </c>
      <c r="B50" s="88" t="s">
        <v>225</v>
      </c>
      <c r="C50" s="331">
        <v>82838</v>
      </c>
      <c r="D50" s="343">
        <v>57211</v>
      </c>
      <c r="E50" s="252">
        <v>30374</v>
      </c>
      <c r="F50" s="195">
        <f t="shared" si="14"/>
        <v>2.0999476637788412E-2</v>
      </c>
      <c r="G50" s="241">
        <v>35080</v>
      </c>
      <c r="H50" s="195">
        <f t="shared" si="15"/>
        <v>1.445123614094322E-2</v>
      </c>
      <c r="I50" s="330">
        <f t="shared" si="4"/>
        <v>65454</v>
      </c>
      <c r="J50" s="332">
        <f t="shared" si="5"/>
        <v>68501</v>
      </c>
      <c r="K50" s="197">
        <f t="shared" si="16"/>
        <v>1.6054578206685263E-2</v>
      </c>
      <c r="L50" s="91">
        <f t="shared" si="7"/>
        <v>14632</v>
      </c>
      <c r="M50" s="228">
        <f t="shared" si="8"/>
        <v>1600</v>
      </c>
      <c r="N50" s="228"/>
      <c r="O50" s="297">
        <f t="shared" si="9"/>
        <v>13032</v>
      </c>
      <c r="P50" s="133">
        <f t="shared" si="12"/>
        <v>3323</v>
      </c>
      <c r="Q50" s="93">
        <f t="shared" si="3"/>
        <v>846</v>
      </c>
      <c r="R50" s="201">
        <f t="shared" si="13"/>
        <v>6.9423929098966025E-2</v>
      </c>
      <c r="S50" s="90"/>
      <c r="T50" s="218">
        <v>13686</v>
      </c>
      <c r="U50" s="228">
        <v>1500</v>
      </c>
      <c r="V50" s="228"/>
      <c r="W50" s="219">
        <v>12186</v>
      </c>
      <c r="X50" s="279">
        <v>3172</v>
      </c>
      <c r="Z50" s="196"/>
      <c r="AA50" s="314"/>
      <c r="AB50" s="92"/>
      <c r="AC50" s="92"/>
      <c r="AD50" s="315"/>
      <c r="AE50" s="93"/>
      <c r="AF50" s="315"/>
      <c r="AG50" s="315"/>
      <c r="AH50" s="314"/>
      <c r="AI50" s="92"/>
    </row>
    <row r="51" spans="1:37" s="88" customFormat="1">
      <c r="A51" s="137">
        <v>43</v>
      </c>
      <c r="B51" s="145" t="s">
        <v>226</v>
      </c>
      <c r="C51" s="331">
        <v>161211</v>
      </c>
      <c r="D51" s="343">
        <v>108101</v>
      </c>
      <c r="E51" s="252">
        <v>27363</v>
      </c>
      <c r="F51" s="195">
        <f t="shared" si="14"/>
        <v>1.8917780971877404E-2</v>
      </c>
      <c r="G51" s="241">
        <v>113992</v>
      </c>
      <c r="H51" s="195">
        <f t="shared" si="15"/>
        <v>4.6959102342599757E-2</v>
      </c>
      <c r="I51" s="330">
        <f t="shared" si="4"/>
        <v>141355</v>
      </c>
      <c r="J51" s="332">
        <f t="shared" si="5"/>
        <v>136889</v>
      </c>
      <c r="K51" s="197">
        <f t="shared" si="16"/>
        <v>3.208267260528954E-2</v>
      </c>
      <c r="L51" s="91">
        <f t="shared" si="7"/>
        <v>29241</v>
      </c>
      <c r="M51" s="228">
        <f t="shared" si="8"/>
        <v>1600</v>
      </c>
      <c r="N51" s="228"/>
      <c r="O51" s="297">
        <f t="shared" si="9"/>
        <v>27641</v>
      </c>
      <c r="P51" s="133">
        <f t="shared" si="12"/>
        <v>6641</v>
      </c>
      <c r="Q51" s="93">
        <f t="shared" si="3"/>
        <v>459</v>
      </c>
      <c r="R51" s="201">
        <f t="shared" si="13"/>
        <v>1.6886174674416894E-2</v>
      </c>
      <c r="S51" s="90"/>
      <c r="T51" s="218">
        <v>28682</v>
      </c>
      <c r="U51" s="228">
        <v>1500</v>
      </c>
      <c r="V51" s="228"/>
      <c r="W51" s="219">
        <v>27182</v>
      </c>
      <c r="X51" s="279">
        <v>6648</v>
      </c>
      <c r="Z51" s="196"/>
      <c r="AA51" s="314"/>
      <c r="AB51" s="92"/>
      <c r="AC51" s="92"/>
      <c r="AD51" s="315"/>
      <c r="AE51" s="93"/>
      <c r="AF51" s="315"/>
      <c r="AG51" s="315"/>
      <c r="AH51" s="314"/>
      <c r="AI51" s="92"/>
    </row>
    <row r="52" spans="1:37" s="88" customFormat="1">
      <c r="A52" s="137">
        <v>44</v>
      </c>
      <c r="B52" s="88" t="s">
        <v>177</v>
      </c>
      <c r="C52" s="331">
        <v>367676</v>
      </c>
      <c r="D52" s="343">
        <v>203690</v>
      </c>
      <c r="E52" s="252">
        <v>87203</v>
      </c>
      <c r="F52" s="195">
        <f t="shared" si="14"/>
        <v>6.0288976138969608E-2</v>
      </c>
      <c r="G52" s="241">
        <v>163285</v>
      </c>
      <c r="H52" s="195">
        <f t="shared" si="15"/>
        <v>6.7265396045436535E-2</v>
      </c>
      <c r="I52" s="330">
        <f t="shared" si="4"/>
        <v>250488</v>
      </c>
      <c r="J52" s="332">
        <f t="shared" si="5"/>
        <v>273951</v>
      </c>
      <c r="K52" s="197">
        <f t="shared" si="16"/>
        <v>6.4205891217641128E-2</v>
      </c>
      <c r="L52" s="91">
        <f t="shared" si="7"/>
        <v>58518</v>
      </c>
      <c r="M52" s="228">
        <f t="shared" si="8"/>
        <v>1600</v>
      </c>
      <c r="N52" s="292">
        <f>K70*M3</f>
        <v>4444.2732029717063</v>
      </c>
      <c r="O52" s="297">
        <f t="shared" si="9"/>
        <v>52473.726797028292</v>
      </c>
      <c r="P52" s="133">
        <f t="shared" si="12"/>
        <v>13291</v>
      </c>
      <c r="Q52" s="93">
        <f t="shared" si="3"/>
        <v>-91.426921291313192</v>
      </c>
      <c r="R52" s="201">
        <f t="shared" si="13"/>
        <v>-1.739306647541483E-3</v>
      </c>
      <c r="S52" s="90"/>
      <c r="T52" s="218">
        <v>58364</v>
      </c>
      <c r="U52" s="228">
        <v>1500</v>
      </c>
      <c r="V52" s="228">
        <v>4298.8462816803985</v>
      </c>
      <c r="W52" s="219">
        <v>52565.153718319605</v>
      </c>
      <c r="X52" s="279">
        <v>13528</v>
      </c>
      <c r="Z52" s="196"/>
      <c r="AA52" s="314"/>
      <c r="AB52" s="92"/>
      <c r="AC52" s="92"/>
      <c r="AD52" s="315"/>
      <c r="AE52" s="93"/>
      <c r="AF52" s="315"/>
      <c r="AG52" s="315"/>
      <c r="AH52" s="314"/>
      <c r="AI52" s="92"/>
    </row>
    <row r="53" spans="1:37" s="88" customFormat="1">
      <c r="A53" s="137">
        <v>45</v>
      </c>
      <c r="B53" s="88" t="s">
        <v>227</v>
      </c>
      <c r="C53" s="331">
        <v>102864</v>
      </c>
      <c r="D53" s="343">
        <v>70725</v>
      </c>
      <c r="E53" s="252">
        <v>25533</v>
      </c>
      <c r="F53" s="195">
        <f t="shared" si="14"/>
        <v>1.7652585665129766E-2</v>
      </c>
      <c r="G53" s="241">
        <v>55740</v>
      </c>
      <c r="H53" s="195">
        <f t="shared" si="15"/>
        <v>2.2962140892137259E-2</v>
      </c>
      <c r="I53" s="330">
        <f t="shared" si="4"/>
        <v>81273</v>
      </c>
      <c r="J53" s="332">
        <f t="shared" si="5"/>
        <v>84954</v>
      </c>
      <c r="K53" s="197">
        <f t="shared" si="16"/>
        <v>1.9910667537273032E-2</v>
      </c>
      <c r="L53" s="91">
        <f t="shared" si="7"/>
        <v>18147</v>
      </c>
      <c r="M53" s="228">
        <f t="shared" si="8"/>
        <v>1600</v>
      </c>
      <c r="N53" s="228"/>
      <c r="O53" s="297">
        <f t="shared" si="9"/>
        <v>16547</v>
      </c>
      <c r="P53" s="133">
        <f t="shared" si="12"/>
        <v>4122</v>
      </c>
      <c r="Q53" s="93">
        <f t="shared" si="3"/>
        <v>1099</v>
      </c>
      <c r="R53" s="201">
        <f t="shared" si="13"/>
        <v>7.1141895390989127E-2</v>
      </c>
      <c r="S53" s="90"/>
      <c r="T53" s="218">
        <v>16948</v>
      </c>
      <c r="U53" s="228">
        <v>1500</v>
      </c>
      <c r="V53" s="228"/>
      <c r="W53" s="219">
        <v>15448</v>
      </c>
      <c r="X53" s="279">
        <v>3928</v>
      </c>
      <c r="Z53" s="196"/>
      <c r="AA53" s="314"/>
      <c r="AB53" s="92"/>
      <c r="AC53" s="92"/>
      <c r="AD53" s="315"/>
      <c r="AE53" s="93"/>
      <c r="AF53" s="315"/>
      <c r="AG53" s="315"/>
      <c r="AH53" s="314"/>
      <c r="AI53" s="92"/>
    </row>
    <row r="54" spans="1:37" s="88" customFormat="1">
      <c r="A54" s="137">
        <v>46</v>
      </c>
      <c r="B54" s="145" t="s">
        <v>228</v>
      </c>
      <c r="C54" s="331">
        <v>17639</v>
      </c>
      <c r="D54" s="343">
        <v>12548</v>
      </c>
      <c r="E54" s="252">
        <v>8382</v>
      </c>
      <c r="F54" s="195">
        <f t="shared" si="14"/>
        <v>5.7950093230375475E-3</v>
      </c>
      <c r="G54" s="241">
        <v>6416</v>
      </c>
      <c r="H54" s="195">
        <f t="shared" si="15"/>
        <v>2.6430767126650995E-3</v>
      </c>
      <c r="I54" s="330">
        <f t="shared" si="4"/>
        <v>14798</v>
      </c>
      <c r="J54" s="332">
        <f t="shared" si="5"/>
        <v>14995</v>
      </c>
      <c r="K54" s="197">
        <f t="shared" si="16"/>
        <v>3.5143778953481775E-3</v>
      </c>
      <c r="L54" s="91">
        <f t="shared" si="7"/>
        <v>3203</v>
      </c>
      <c r="M54" s="228">
        <f t="shared" si="8"/>
        <v>1600</v>
      </c>
      <c r="N54" s="228"/>
      <c r="O54" s="297">
        <f t="shared" si="9"/>
        <v>1603</v>
      </c>
      <c r="P54" s="133">
        <f t="shared" si="12"/>
        <v>727</v>
      </c>
      <c r="Q54" s="93">
        <f>O54-W54</f>
        <v>202.5</v>
      </c>
      <c r="R54" s="201">
        <f t="shared" si="13"/>
        <v>0.14459121742234915</v>
      </c>
      <c r="S54" s="90"/>
      <c r="T54" s="218">
        <v>2801</v>
      </c>
      <c r="U54" s="228">
        <v>1400.5</v>
      </c>
      <c r="V54" s="228"/>
      <c r="W54" s="219">
        <v>1400.5</v>
      </c>
      <c r="X54" s="279">
        <v>649</v>
      </c>
      <c r="Z54" s="196"/>
      <c r="AA54" s="314"/>
      <c r="AB54" s="92"/>
      <c r="AC54" s="92"/>
      <c r="AD54" s="315"/>
      <c r="AE54" s="93"/>
      <c r="AF54" s="315"/>
      <c r="AG54" s="315"/>
      <c r="AH54" s="314"/>
      <c r="AI54" s="92"/>
    </row>
    <row r="55" spans="1:37" s="88" customFormat="1">
      <c r="A55" s="137">
        <v>47</v>
      </c>
      <c r="B55" s="88" t="s">
        <v>229</v>
      </c>
      <c r="C55" s="331">
        <v>68572</v>
      </c>
      <c r="D55" s="343">
        <v>47021</v>
      </c>
      <c r="E55" s="252">
        <v>21541</v>
      </c>
      <c r="F55" s="195">
        <f t="shared" si="14"/>
        <v>1.4892662351175352E-2</v>
      </c>
      <c r="G55" s="241">
        <v>39624</v>
      </c>
      <c r="H55" s="195">
        <f t="shared" si="15"/>
        <v>1.6323140845174861E-2</v>
      </c>
      <c r="I55" s="330">
        <f t="shared" si="4"/>
        <v>61165</v>
      </c>
      <c r="J55" s="332">
        <f t="shared" si="5"/>
        <v>58919</v>
      </c>
      <c r="K55" s="197">
        <f t="shared" si="16"/>
        <v>1.380884502941109E-2</v>
      </c>
      <c r="L55" s="91">
        <f t="shared" si="7"/>
        <v>12586</v>
      </c>
      <c r="M55" s="228">
        <f t="shared" si="8"/>
        <v>1600</v>
      </c>
      <c r="N55" s="228"/>
      <c r="O55" s="297">
        <f t="shared" si="9"/>
        <v>10986</v>
      </c>
      <c r="P55" s="133">
        <f t="shared" si="12"/>
        <v>2858</v>
      </c>
      <c r="Q55" s="93">
        <f t="shared" si="3"/>
        <v>978</v>
      </c>
      <c r="R55" s="201">
        <f t="shared" si="13"/>
        <v>9.772182254196643E-2</v>
      </c>
      <c r="S55" s="90"/>
      <c r="T55" s="218">
        <v>11508</v>
      </c>
      <c r="U55" s="228">
        <v>1500</v>
      </c>
      <c r="V55" s="228"/>
      <c r="W55" s="219">
        <v>10008</v>
      </c>
      <c r="X55" s="279">
        <v>2667</v>
      </c>
      <c r="Z55" s="196"/>
      <c r="AA55" s="314"/>
      <c r="AB55" s="92"/>
      <c r="AC55" s="92"/>
      <c r="AD55" s="315"/>
      <c r="AE55" s="93"/>
      <c r="AF55" s="315"/>
      <c r="AG55" s="315"/>
      <c r="AH55" s="314"/>
      <c r="AI55" s="92"/>
    </row>
    <row r="56" spans="1:37" s="88" customFormat="1">
      <c r="A56" s="137">
        <v>48</v>
      </c>
      <c r="B56" s="88" t="s">
        <v>230</v>
      </c>
      <c r="C56" s="331">
        <v>44304</v>
      </c>
      <c r="D56" s="343">
        <v>28052</v>
      </c>
      <c r="E56" s="252">
        <v>11561</v>
      </c>
      <c r="F56" s="195">
        <f t="shared" si="14"/>
        <v>7.9928540662893201E-3</v>
      </c>
      <c r="G56" s="241">
        <v>23733</v>
      </c>
      <c r="H56" s="195">
        <f t="shared" si="15"/>
        <v>9.7768297415337917E-3</v>
      </c>
      <c r="I56" s="330">
        <f t="shared" si="4"/>
        <v>35294</v>
      </c>
      <c r="J56" s="332">
        <f t="shared" si="5"/>
        <v>35883</v>
      </c>
      <c r="K56" s="197">
        <f t="shared" si="16"/>
        <v>8.4098981006187831E-3</v>
      </c>
      <c r="L56" s="91">
        <f t="shared" si="7"/>
        <v>7665</v>
      </c>
      <c r="M56" s="228">
        <f t="shared" si="8"/>
        <v>1600</v>
      </c>
      <c r="N56" s="228"/>
      <c r="O56" s="297">
        <f t="shared" si="9"/>
        <v>6065</v>
      </c>
      <c r="P56" s="133">
        <f t="shared" si="12"/>
        <v>1741</v>
      </c>
      <c r="Q56" s="93">
        <f t="shared" si="3"/>
        <v>277</v>
      </c>
      <c r="R56" s="201">
        <f t="shared" si="13"/>
        <v>4.7857636489288181E-2</v>
      </c>
      <c r="S56" s="90"/>
      <c r="T56" s="218">
        <v>7288</v>
      </c>
      <c r="U56" s="228">
        <v>1500</v>
      </c>
      <c r="V56" s="228"/>
      <c r="W56" s="219">
        <v>5788</v>
      </c>
      <c r="X56" s="279">
        <v>1689</v>
      </c>
      <c r="Z56" s="196"/>
      <c r="AA56" s="314"/>
      <c r="AB56" s="92"/>
      <c r="AC56" s="92"/>
      <c r="AD56" s="315"/>
      <c r="AE56" s="93"/>
      <c r="AF56" s="315"/>
      <c r="AG56" s="315"/>
      <c r="AH56" s="314"/>
      <c r="AI56" s="92"/>
    </row>
    <row r="57" spans="1:37" s="88" customFormat="1">
      <c r="A57" s="137">
        <v>49</v>
      </c>
      <c r="B57" s="88" t="s">
        <v>179</v>
      </c>
      <c r="C57" s="331">
        <v>78912</v>
      </c>
      <c r="D57" s="343">
        <v>43426</v>
      </c>
      <c r="E57" s="252">
        <v>23231</v>
      </c>
      <c r="F57" s="195">
        <f t="shared" si="14"/>
        <v>1.606106676013902E-2</v>
      </c>
      <c r="G57" s="241">
        <v>27339</v>
      </c>
      <c r="H57" s="195">
        <f t="shared" si="15"/>
        <v>1.1262324539830292E-2</v>
      </c>
      <c r="I57" s="330">
        <f t="shared" si="4"/>
        <v>50570</v>
      </c>
      <c r="J57" s="332">
        <f t="shared" si="5"/>
        <v>57636</v>
      </c>
      <c r="K57" s="197">
        <f t="shared" si="16"/>
        <v>1.3508148341199571E-2</v>
      </c>
      <c r="L57" s="91">
        <f t="shared" si="7"/>
        <v>12312</v>
      </c>
      <c r="M57" s="228">
        <f t="shared" si="8"/>
        <v>1600</v>
      </c>
      <c r="N57" s="228"/>
      <c r="O57" s="297">
        <f t="shared" si="9"/>
        <v>10712</v>
      </c>
      <c r="P57" s="133">
        <f t="shared" si="12"/>
        <v>2796</v>
      </c>
      <c r="Q57" s="93">
        <f t="shared" si="3"/>
        <v>-83</v>
      </c>
      <c r="R57" s="201">
        <f t="shared" si="13"/>
        <v>-7.6887447892542843E-3</v>
      </c>
      <c r="S57" s="90"/>
      <c r="T57" s="218">
        <v>12295</v>
      </c>
      <c r="U57" s="228">
        <v>1500</v>
      </c>
      <c r="V57" s="228"/>
      <c r="W57" s="219">
        <v>10795</v>
      </c>
      <c r="X57" s="279">
        <v>2850</v>
      </c>
      <c r="Z57" s="196"/>
      <c r="AA57" s="314"/>
      <c r="AB57" s="92"/>
      <c r="AC57" s="92"/>
      <c r="AD57" s="315"/>
      <c r="AE57" s="93"/>
      <c r="AF57" s="315"/>
      <c r="AG57" s="315"/>
      <c r="AH57" s="314"/>
      <c r="AI57" s="92"/>
    </row>
    <row r="58" spans="1:37" s="88" customFormat="1">
      <c r="A58" s="137">
        <v>50</v>
      </c>
      <c r="B58" s="145" t="s">
        <v>231</v>
      </c>
      <c r="C58" s="331">
        <v>51659</v>
      </c>
      <c r="D58" s="343">
        <v>38578</v>
      </c>
      <c r="E58" s="252">
        <v>19351</v>
      </c>
      <c r="F58" s="195">
        <f t="shared" si="14"/>
        <v>1.3378576164411784E-2</v>
      </c>
      <c r="G58" s="241">
        <v>32390</v>
      </c>
      <c r="H58" s="195">
        <f t="shared" si="15"/>
        <v>1.3343088329679328E-2</v>
      </c>
      <c r="I58" s="330">
        <f t="shared" si="4"/>
        <v>51741</v>
      </c>
      <c r="J58" s="332">
        <f t="shared" si="5"/>
        <v>47326</v>
      </c>
      <c r="K58" s="197">
        <f t="shared" si="16"/>
        <v>1.1091793816288621E-2</v>
      </c>
      <c r="L58" s="91">
        <f t="shared" si="7"/>
        <v>10109</v>
      </c>
      <c r="M58" s="228">
        <f t="shared" si="8"/>
        <v>1600</v>
      </c>
      <c r="N58" s="228"/>
      <c r="O58" s="297">
        <f t="shared" si="9"/>
        <v>8509</v>
      </c>
      <c r="P58" s="133">
        <f t="shared" si="12"/>
        <v>2296</v>
      </c>
      <c r="Q58" s="93">
        <f t="shared" si="3"/>
        <v>638</v>
      </c>
      <c r="R58" s="201">
        <f t="shared" si="13"/>
        <v>8.1057044848176857E-2</v>
      </c>
      <c r="S58" s="90"/>
      <c r="T58" s="218">
        <v>9371</v>
      </c>
      <c r="U58" s="228">
        <v>1500</v>
      </c>
      <c r="V58" s="228"/>
      <c r="W58" s="219">
        <v>7871</v>
      </c>
      <c r="X58" s="279">
        <v>2172</v>
      </c>
      <c r="Z58" s="196"/>
      <c r="AA58" s="314"/>
      <c r="AB58" s="92"/>
      <c r="AC58" s="92"/>
      <c r="AD58" s="315"/>
      <c r="AE58" s="93"/>
      <c r="AF58" s="315"/>
      <c r="AG58" s="315"/>
      <c r="AH58" s="314"/>
      <c r="AI58" s="92"/>
    </row>
    <row r="59" spans="1:37" s="88" customFormat="1">
      <c r="A59" s="137">
        <v>51</v>
      </c>
      <c r="B59" s="145" t="s">
        <v>232</v>
      </c>
      <c r="C59" s="331">
        <v>35752</v>
      </c>
      <c r="D59" s="343">
        <v>23880</v>
      </c>
      <c r="E59" s="252">
        <v>12625</v>
      </c>
      <c r="F59" s="195">
        <f t="shared" si="14"/>
        <v>8.7284648894475104E-3</v>
      </c>
      <c r="G59" s="241">
        <v>11703</v>
      </c>
      <c r="H59" s="195">
        <f t="shared" si="15"/>
        <v>4.8210609052867304E-3</v>
      </c>
      <c r="I59" s="330">
        <f t="shared" si="4"/>
        <v>24328</v>
      </c>
      <c r="J59" s="332">
        <f t="shared" si="5"/>
        <v>27987</v>
      </c>
      <c r="K59" s="197">
        <f t="shared" si="16"/>
        <v>6.5593127147122003E-3</v>
      </c>
      <c r="L59" s="91">
        <f t="shared" si="7"/>
        <v>5978</v>
      </c>
      <c r="M59" s="228">
        <f t="shared" si="8"/>
        <v>1600</v>
      </c>
      <c r="N59" s="228"/>
      <c r="O59" s="297">
        <f t="shared" si="9"/>
        <v>4378</v>
      </c>
      <c r="P59" s="133">
        <f t="shared" si="12"/>
        <v>1358</v>
      </c>
      <c r="Q59" s="93">
        <f t="shared" si="3"/>
        <v>-27</v>
      </c>
      <c r="R59" s="201">
        <f t="shared" si="13"/>
        <v>-6.1293984108967085E-3</v>
      </c>
      <c r="S59" s="90"/>
      <c r="T59" s="218">
        <v>5905</v>
      </c>
      <c r="U59" s="228">
        <v>1500</v>
      </c>
      <c r="V59" s="228"/>
      <c r="W59" s="219">
        <v>4405</v>
      </c>
      <c r="X59" s="279">
        <v>1369</v>
      </c>
      <c r="Z59" s="196"/>
      <c r="AA59" s="314"/>
      <c r="AB59" s="92"/>
      <c r="AC59" s="92"/>
      <c r="AD59" s="315"/>
      <c r="AE59" s="93"/>
      <c r="AF59" s="315"/>
      <c r="AG59" s="315"/>
      <c r="AH59" s="314"/>
      <c r="AI59" s="92"/>
    </row>
    <row r="60" spans="1:37" s="88" customFormat="1" ht="15" customHeight="1" thickBot="1">
      <c r="A60" s="137">
        <v>52</v>
      </c>
      <c r="B60" s="88" t="s">
        <v>180</v>
      </c>
      <c r="C60" s="331">
        <v>42161</v>
      </c>
      <c r="D60" s="343">
        <v>30410</v>
      </c>
      <c r="E60" s="252">
        <v>15723</v>
      </c>
      <c r="F60" s="195">
        <f t="shared" si="14"/>
        <v>1.08703091846957E-2</v>
      </c>
      <c r="G60" s="241">
        <v>18283</v>
      </c>
      <c r="H60" s="195">
        <f t="shared" si="15"/>
        <v>7.5316975588615989E-3</v>
      </c>
      <c r="I60" s="330">
        <f t="shared" si="4"/>
        <v>34006</v>
      </c>
      <c r="J60" s="332">
        <f t="shared" si="5"/>
        <v>35526</v>
      </c>
      <c r="K60" s="197">
        <f t="shared" si="16"/>
        <v>8.3262280166815188E-3</v>
      </c>
      <c r="L60" s="91">
        <f t="shared" si="7"/>
        <v>7589</v>
      </c>
      <c r="M60" s="228">
        <f t="shared" si="8"/>
        <v>1600</v>
      </c>
      <c r="N60" s="323"/>
      <c r="O60" s="324">
        <f t="shared" si="9"/>
        <v>5989</v>
      </c>
      <c r="P60" s="325">
        <f t="shared" si="12"/>
        <v>1724</v>
      </c>
      <c r="Q60" s="316">
        <f t="shared" si="3"/>
        <v>379</v>
      </c>
      <c r="R60" s="326">
        <f t="shared" si="13"/>
        <v>6.755793226381461E-2</v>
      </c>
      <c r="S60" s="90"/>
      <c r="T60" s="218">
        <v>7110</v>
      </c>
      <c r="U60" s="228">
        <v>1500</v>
      </c>
      <c r="V60" s="228"/>
      <c r="W60" s="219">
        <v>5610</v>
      </c>
      <c r="X60" s="279">
        <v>1648</v>
      </c>
      <c r="Z60" s="196"/>
      <c r="AA60" s="314"/>
      <c r="AB60" s="92"/>
      <c r="AC60" s="92"/>
      <c r="AD60" s="315"/>
      <c r="AE60" s="316"/>
      <c r="AF60" s="315"/>
      <c r="AG60" s="315"/>
      <c r="AH60" s="314"/>
      <c r="AI60" s="92"/>
    </row>
    <row r="61" spans="1:37" s="86" customFormat="1" ht="19.5" customHeight="1" thickBot="1">
      <c r="B61" s="94" t="s">
        <v>233</v>
      </c>
      <c r="C61" s="95">
        <v>5338044</v>
      </c>
      <c r="D61" s="95">
        <v>3432334</v>
      </c>
      <c r="E61" s="95">
        <f t="shared" ref="E61:Q61" si="17">SUM(E9:E60)</f>
        <v>1446417</v>
      </c>
      <c r="F61" s="96">
        <f t="shared" si="17"/>
        <v>1.0000000000000002</v>
      </c>
      <c r="G61" s="95">
        <f t="shared" si="17"/>
        <v>2427474</v>
      </c>
      <c r="H61" s="96">
        <f t="shared" si="17"/>
        <v>0.99999999999999989</v>
      </c>
      <c r="I61" s="95">
        <f t="shared" si="17"/>
        <v>3873891</v>
      </c>
      <c r="J61" s="95">
        <f t="shared" si="17"/>
        <v>4266758</v>
      </c>
      <c r="K61" s="96">
        <f t="shared" si="17"/>
        <v>1</v>
      </c>
      <c r="L61" s="97">
        <f t="shared" si="17"/>
        <v>911415</v>
      </c>
      <c r="M61" s="98">
        <f t="shared" si="17"/>
        <v>81303.632082953845</v>
      </c>
      <c r="N61" s="98">
        <f t="shared" si="17"/>
        <v>20000</v>
      </c>
      <c r="O61" s="157">
        <f t="shared" si="17"/>
        <v>810111.36791704618</v>
      </c>
      <c r="P61" s="134">
        <f t="shared" si="17"/>
        <v>206999</v>
      </c>
      <c r="Q61" s="98">
        <f t="shared" si="17"/>
        <v>12101</v>
      </c>
      <c r="R61" s="99">
        <f t="shared" si="13"/>
        <v>3.4051178390849757E-2</v>
      </c>
      <c r="T61" s="172">
        <f>SUM(T9:T60)</f>
        <v>878183</v>
      </c>
      <c r="U61" s="100">
        <f>SUM(U9:U60)</f>
        <v>74748.5</v>
      </c>
      <c r="V61" s="100">
        <f>SUM(V9:V60)</f>
        <v>20000</v>
      </c>
      <c r="W61" s="100">
        <f>SUM(W9:W60)</f>
        <v>783434.5</v>
      </c>
      <c r="X61" s="173">
        <f>SUM(X9:X60)</f>
        <v>203543</v>
      </c>
      <c r="Z61" s="240"/>
      <c r="AA61" s="240"/>
      <c r="AB61" s="338"/>
      <c r="AC61" s="338"/>
      <c r="AD61" s="337"/>
      <c r="AE61" s="339"/>
      <c r="AF61" s="337"/>
      <c r="AG61" s="337"/>
      <c r="AH61" s="337"/>
      <c r="AI61" s="240"/>
      <c r="AJ61" s="337"/>
      <c r="AK61" s="337"/>
    </row>
    <row r="62" spans="1:37">
      <c r="L62" s="101"/>
      <c r="M62" s="102"/>
      <c r="N62" s="102"/>
      <c r="O62" s="102"/>
      <c r="P62" s="102"/>
      <c r="Q62" s="102"/>
      <c r="R62" s="103"/>
      <c r="T62" s="104"/>
      <c r="U62" s="105"/>
      <c r="V62" s="105"/>
      <c r="W62" s="105"/>
      <c r="X62" s="106"/>
      <c r="Z62" s="88"/>
      <c r="AA62" s="88"/>
      <c r="AB62" s="92"/>
      <c r="AC62" s="88"/>
      <c r="AD62" s="88"/>
      <c r="AE62" s="88"/>
      <c r="AF62" s="88"/>
      <c r="AG62" s="88"/>
      <c r="AH62" s="88"/>
      <c r="AI62" s="340"/>
      <c r="AJ62" s="145"/>
      <c r="AK62" s="88"/>
    </row>
    <row r="63" spans="1:37" ht="13.5" thickBot="1">
      <c r="E63" s="107"/>
      <c r="F63" s="107"/>
      <c r="G63" s="107"/>
      <c r="H63" s="107"/>
      <c r="I63" s="107"/>
      <c r="J63" s="107"/>
      <c r="K63" s="108"/>
      <c r="L63" s="111"/>
      <c r="M63" s="112"/>
      <c r="N63" s="112"/>
      <c r="O63" s="113"/>
      <c r="P63" s="113"/>
      <c r="Q63" s="113"/>
      <c r="R63" s="114"/>
      <c r="T63" s="115"/>
      <c r="U63" s="116"/>
      <c r="V63" s="116"/>
      <c r="W63" s="171"/>
      <c r="X63" s="114"/>
      <c r="Z63" s="88"/>
      <c r="AA63" s="88"/>
      <c r="AB63" s="313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>
      <c r="E64" s="109"/>
      <c r="F64" s="109"/>
      <c r="G64" s="109"/>
      <c r="H64" s="109"/>
      <c r="I64" s="109"/>
      <c r="J64" s="109"/>
      <c r="K64" s="110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2:18">
      <c r="L65" s="105"/>
      <c r="M65" s="105"/>
      <c r="N65" s="105"/>
      <c r="O65" s="105"/>
      <c r="P65" s="105"/>
      <c r="Q65" s="105"/>
      <c r="R65" s="105"/>
    </row>
    <row r="66" spans="2:18">
      <c r="I66" s="117"/>
      <c r="J66" s="117"/>
    </row>
    <row r="67" spans="2:18">
      <c r="B67" s="82"/>
      <c r="C67" s="82"/>
      <c r="D67" s="82"/>
      <c r="G67" s="82"/>
      <c r="I67" s="82" t="s">
        <v>322</v>
      </c>
    </row>
    <row r="68" spans="2:18" ht="19.5" customHeight="1">
      <c r="B68" s="290"/>
      <c r="C68" s="290"/>
      <c r="D68" s="290"/>
      <c r="G68" s="290"/>
      <c r="I68" s="290" t="s">
        <v>167</v>
      </c>
      <c r="J68" s="293">
        <f>J30</f>
        <v>687638</v>
      </c>
      <c r="K68" s="296">
        <f>J68/$J$71</f>
        <v>0.55777331288169385</v>
      </c>
    </row>
    <row r="69" spans="2:18">
      <c r="B69" s="290"/>
      <c r="C69" s="290"/>
      <c r="D69" s="290"/>
      <c r="G69" s="290"/>
      <c r="I69" s="290" t="s">
        <v>166</v>
      </c>
      <c r="J69" s="293">
        <f>J22</f>
        <v>271238</v>
      </c>
      <c r="K69" s="296">
        <f>J69/$J$71</f>
        <v>0.2200130269697208</v>
      </c>
    </row>
    <row r="70" spans="2:18" ht="13.5" thickBot="1">
      <c r="B70" s="290"/>
      <c r="C70" s="290"/>
      <c r="D70" s="290"/>
      <c r="G70" s="290"/>
      <c r="I70" s="290" t="s">
        <v>177</v>
      </c>
      <c r="J70" s="293">
        <f>J52</f>
        <v>273951</v>
      </c>
      <c r="K70" s="296">
        <f>J70/$J$71</f>
        <v>0.22221366014858532</v>
      </c>
    </row>
    <row r="71" spans="2:18" ht="21" customHeight="1" thickBot="1">
      <c r="B71" s="290"/>
      <c r="C71" s="290"/>
      <c r="D71" s="290"/>
      <c r="G71" s="290"/>
      <c r="I71" s="290" t="s">
        <v>158</v>
      </c>
      <c r="J71" s="294">
        <f>SUM(J68:J70)</f>
        <v>1232827</v>
      </c>
      <c r="K71" s="295">
        <f>SUM(K68:K70)</f>
        <v>1</v>
      </c>
    </row>
  </sheetData>
  <mergeCells count="3">
    <mergeCell ref="L6:R6"/>
    <mergeCell ref="L7:R7"/>
    <mergeCell ref="T7:X7"/>
  </mergeCells>
  <phoneticPr fontId="9" type="noConversion"/>
  <conditionalFormatting sqref="AF9:AF60">
    <cfRule type="cellIs" dxfId="2" priority="2" operator="lessThan">
      <formula>$AF$6</formula>
    </cfRule>
    <cfRule type="cellIs" dxfId="1" priority="3" operator="greaterThan">
      <formula>$AF$6</formula>
    </cfRule>
  </conditionalFormatting>
  <conditionalFormatting sqref="AG9:AG60">
    <cfRule type="cellIs" dxfId="0" priority="1" operator="greaterThan">
      <formula>0</formula>
    </cfRule>
  </conditionalFormatting>
  <printOptions horizontalCentered="1" gridLines="1"/>
  <pageMargins left="0.2" right="0.2" top="0.52" bottom="0.41" header="0.23" footer="0.17"/>
  <pageSetup scale="56" orientation="landscape" r:id="rId1"/>
  <headerFooter>
    <oddHeader>&amp;C2023 Preliminary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view="pageLayout" topLeftCell="A4" zoomScale="85" zoomScaleNormal="85" zoomScalePageLayoutView="85" workbookViewId="0">
      <selection activeCell="I12" sqref="I12"/>
    </sheetView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35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234</v>
      </c>
      <c r="B1" s="20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235</v>
      </c>
      <c r="B2" s="20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v>44684</v>
      </c>
      <c r="B3" s="20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69"/>
      <c r="D5" s="369"/>
      <c r="E5" s="369"/>
      <c r="F5" s="369"/>
      <c r="G5" s="175"/>
      <c r="H5" s="175"/>
      <c r="I5" s="369"/>
      <c r="J5" s="369"/>
      <c r="K5" s="34"/>
      <c r="L5" s="34"/>
      <c r="M5" s="34"/>
      <c r="N5" s="34"/>
      <c r="O5" s="29"/>
    </row>
    <row r="6" spans="1:20" ht="36" customHeight="1" thickBot="1">
      <c r="A6" s="29"/>
      <c r="B6" s="35" t="s">
        <v>236</v>
      </c>
      <c r="C6" s="36" t="s">
        <v>237</v>
      </c>
      <c r="D6" s="37">
        <v>2001</v>
      </c>
      <c r="E6" s="37">
        <v>2002</v>
      </c>
      <c r="F6" s="37">
        <v>2003</v>
      </c>
      <c r="G6" s="38" t="s">
        <v>238</v>
      </c>
      <c r="H6" s="38" t="s">
        <v>239</v>
      </c>
      <c r="I6" s="37">
        <v>2004</v>
      </c>
      <c r="J6" s="37" t="s">
        <v>240</v>
      </c>
      <c r="K6" s="39">
        <v>2011</v>
      </c>
      <c r="L6" s="39">
        <v>2012</v>
      </c>
      <c r="M6" s="39" t="s">
        <v>241</v>
      </c>
      <c r="N6" s="35" t="s">
        <v>374</v>
      </c>
      <c r="O6" s="40" t="s">
        <v>299</v>
      </c>
      <c r="P6" s="175"/>
      <c r="Q6" s="175"/>
      <c r="R6" s="175"/>
      <c r="S6" s="175"/>
      <c r="T6" s="41"/>
    </row>
    <row r="7" spans="1:20">
      <c r="A7" s="42" t="s">
        <v>242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243</v>
      </c>
      <c r="B8" s="4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>
        <v>24000</v>
      </c>
      <c r="N8" s="230"/>
      <c r="O8" s="46">
        <f>SUM(C8:N8)</f>
        <v>24000</v>
      </c>
      <c r="P8" s="204"/>
      <c r="Q8" s="204"/>
      <c r="R8" s="204"/>
      <c r="S8" s="204"/>
      <c r="T8" s="44"/>
    </row>
    <row r="9" spans="1:20">
      <c r="A9" s="29" t="s">
        <v>244</v>
      </c>
      <c r="B9" s="205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3">
        <v>11000</v>
      </c>
      <c r="K9" s="128"/>
      <c r="L9" s="128"/>
      <c r="M9" s="128">
        <v>-65000</v>
      </c>
      <c r="N9" s="223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245</v>
      </c>
      <c r="B10" s="205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344"/>
      <c r="J10" s="344">
        <v>-3000</v>
      </c>
      <c r="K10" s="128"/>
      <c r="L10" s="128"/>
      <c r="M10" s="128">
        <v>-25000</v>
      </c>
      <c r="N10" s="223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344"/>
      <c r="J11" s="344"/>
      <c r="K11" s="128"/>
      <c r="L11" s="128"/>
      <c r="M11" s="128"/>
      <c r="N11" s="223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344"/>
      <c r="J12" s="344"/>
      <c r="K12" s="128"/>
      <c r="L12" s="128"/>
      <c r="M12" s="128"/>
      <c r="N12" s="223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344"/>
      <c r="J13" s="344"/>
      <c r="K13" s="128"/>
      <c r="L13" s="128"/>
      <c r="M13" s="128"/>
      <c r="N13" s="223"/>
      <c r="O13" s="29"/>
      <c r="P13" s="44"/>
      <c r="Q13" s="44"/>
      <c r="R13" s="44"/>
      <c r="S13" s="44"/>
      <c r="T13" s="44"/>
    </row>
    <row r="14" spans="1:20">
      <c r="A14" s="28" t="s">
        <v>246</v>
      </c>
      <c r="B14" s="33"/>
      <c r="C14" s="29"/>
      <c r="D14" s="29"/>
      <c r="E14" s="29"/>
      <c r="F14" s="29"/>
      <c r="G14" s="29"/>
      <c r="H14" s="29"/>
      <c r="I14" s="344"/>
      <c r="J14" s="344"/>
      <c r="K14" s="128"/>
      <c r="L14" s="128"/>
      <c r="M14" s="128"/>
      <c r="N14" s="223"/>
      <c r="O14" s="29"/>
      <c r="P14" s="44"/>
      <c r="Q14" s="44"/>
      <c r="R14" s="44"/>
      <c r="S14" s="44"/>
      <c r="T14" s="44"/>
    </row>
    <row r="15" spans="1:20">
      <c r="A15" s="29" t="s">
        <v>247</v>
      </c>
      <c r="B15" s="205">
        <v>260000</v>
      </c>
      <c r="C15" s="128">
        <f>$B$15/10</f>
        <v>26000</v>
      </c>
      <c r="D15" s="128">
        <f>$B$15/10</f>
        <v>26000</v>
      </c>
      <c r="E15" s="128">
        <f>$B$15/10</f>
        <v>26000</v>
      </c>
      <c r="F15" s="128">
        <f>$B$15/10</f>
        <v>26000</v>
      </c>
      <c r="G15" s="128"/>
      <c r="H15" s="128"/>
      <c r="I15" s="223">
        <v>26000</v>
      </c>
      <c r="J15" s="344">
        <v>0</v>
      </c>
      <c r="K15" s="128">
        <v>-19683</v>
      </c>
      <c r="L15" s="128">
        <v>-85292</v>
      </c>
      <c r="M15" s="128">
        <v>94975</v>
      </c>
      <c r="N15" s="223"/>
      <c r="O15" s="46">
        <f>SUM(C15:N15)</f>
        <v>120000</v>
      </c>
      <c r="P15" s="202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344"/>
      <c r="J16" s="344"/>
      <c r="K16" s="128"/>
      <c r="L16" s="128"/>
      <c r="M16" s="128"/>
      <c r="N16" s="223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344"/>
      <c r="J17" s="344"/>
      <c r="K17" s="128"/>
      <c r="L17" s="128"/>
      <c r="M17" s="128"/>
      <c r="N17" s="223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344"/>
      <c r="J18" s="344"/>
      <c r="K18" s="128"/>
      <c r="L18" s="128"/>
      <c r="M18" s="128"/>
      <c r="N18" s="223"/>
      <c r="O18" s="29"/>
      <c r="P18" s="44"/>
      <c r="Q18" s="44"/>
      <c r="R18" s="44"/>
      <c r="S18" s="44"/>
      <c r="T18" s="44"/>
    </row>
    <row r="19" spans="1:20">
      <c r="A19" s="28" t="s">
        <v>248</v>
      </c>
      <c r="B19" s="33"/>
      <c r="C19" s="29"/>
      <c r="D19" s="29"/>
      <c r="E19" s="29"/>
      <c r="F19" s="29"/>
      <c r="G19" s="29"/>
      <c r="H19" s="29"/>
      <c r="I19" s="344"/>
      <c r="J19" s="344"/>
      <c r="K19" s="128"/>
      <c r="L19" s="128"/>
      <c r="M19" s="128"/>
      <c r="N19" s="223"/>
      <c r="O19" s="29"/>
      <c r="P19" s="44"/>
      <c r="Q19" s="44"/>
      <c r="R19" s="44"/>
      <c r="S19" s="44"/>
      <c r="T19" s="44"/>
    </row>
    <row r="20" spans="1:20">
      <c r="A20" s="29" t="s">
        <v>249</v>
      </c>
      <c r="B20" s="205">
        <v>30000</v>
      </c>
      <c r="C20" s="128">
        <f>$B$20/4</f>
        <v>7500</v>
      </c>
      <c r="D20" s="128">
        <f>$B$20/4</f>
        <v>7500</v>
      </c>
      <c r="E20" s="128">
        <f>$B$20/4</f>
        <v>7500</v>
      </c>
      <c r="F20" s="128">
        <v>7500</v>
      </c>
      <c r="G20" s="128">
        <v>-21000</v>
      </c>
      <c r="H20" s="128">
        <v>21000</v>
      </c>
      <c r="I20" s="344"/>
      <c r="J20" s="344">
        <v>-5000</v>
      </c>
      <c r="K20" s="128"/>
      <c r="L20" s="128"/>
      <c r="M20" s="128"/>
      <c r="N20" s="223"/>
      <c r="O20" s="46">
        <f>SUM(C20:N20)</f>
        <v>25000</v>
      </c>
      <c r="P20" s="202"/>
      <c r="Q20" s="44"/>
      <c r="R20" s="44"/>
      <c r="S20" s="44"/>
      <c r="T20" s="47"/>
    </row>
    <row r="21" spans="1:20">
      <c r="A21" s="29" t="s">
        <v>250</v>
      </c>
      <c r="B21" s="205">
        <v>30000</v>
      </c>
      <c r="C21" s="128">
        <f>$B$21/4</f>
        <v>7500</v>
      </c>
      <c r="D21" s="128">
        <f>$B$21/4</f>
        <v>7500</v>
      </c>
      <c r="E21" s="128">
        <f>$B$21/4</f>
        <v>7500</v>
      </c>
      <c r="F21" s="128">
        <f>$B$21/4</f>
        <v>7500</v>
      </c>
      <c r="G21" s="128"/>
      <c r="H21" s="128"/>
      <c r="I21" s="344"/>
      <c r="J21" s="344"/>
      <c r="K21" s="128"/>
      <c r="L21" s="128"/>
      <c r="O21" s="46">
        <f>SUM(C21:N21)</f>
        <v>30000</v>
      </c>
      <c r="P21" s="202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344"/>
      <c r="J22" s="344"/>
      <c r="K22" s="128"/>
      <c r="L22" s="128"/>
      <c r="M22" s="128"/>
      <c r="N22" s="223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344"/>
      <c r="J23" s="344"/>
      <c r="K23" s="128"/>
      <c r="L23" s="128"/>
      <c r="M23" s="128"/>
      <c r="N23" s="223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344"/>
      <c r="J24" s="344"/>
      <c r="K24" s="128"/>
      <c r="L24" s="128"/>
      <c r="M24" s="128"/>
      <c r="N24" s="223"/>
      <c r="O24" s="29"/>
      <c r="P24" s="44"/>
      <c r="Q24" s="44"/>
      <c r="R24" s="44"/>
      <c r="S24" s="44"/>
      <c r="T24" s="44"/>
    </row>
    <row r="25" spans="1:20">
      <c r="A25" s="28" t="s">
        <v>251</v>
      </c>
      <c r="B25" s="206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344">
        <v>3400</v>
      </c>
      <c r="J25" s="344">
        <v>-3000</v>
      </c>
      <c r="K25" s="128"/>
      <c r="L25" s="128"/>
      <c r="M25" s="128"/>
      <c r="N25" s="223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344"/>
      <c r="J26" s="344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252</v>
      </c>
      <c r="B28" s="33"/>
      <c r="C28" s="207">
        <f t="shared" ref="C28:K28" si="0">SUM(C9:C27)</f>
        <v>67650</v>
      </c>
      <c r="D28" s="207">
        <f t="shared" si="0"/>
        <v>67650</v>
      </c>
      <c r="E28" s="207">
        <f t="shared" si="0"/>
        <v>67650</v>
      </c>
      <c r="F28" s="207">
        <f t="shared" si="0"/>
        <v>67650</v>
      </c>
      <c r="G28" s="207">
        <f t="shared" si="0"/>
        <v>-39507</v>
      </c>
      <c r="H28" s="207">
        <f t="shared" si="0"/>
        <v>39507</v>
      </c>
      <c r="I28" s="207">
        <f t="shared" si="0"/>
        <v>29400</v>
      </c>
      <c r="J28" s="207">
        <f t="shared" si="0"/>
        <v>0</v>
      </c>
      <c r="K28" s="207">
        <f t="shared" si="0"/>
        <v>-19683</v>
      </c>
      <c r="L28" s="207">
        <f>SUM(L9:L27)</f>
        <v>-85292</v>
      </c>
      <c r="M28" s="207">
        <f>SUM(M8:M27)</f>
        <v>28975</v>
      </c>
      <c r="N28" s="231">
        <f>SUM(N8:N27)</f>
        <v>0</v>
      </c>
      <c r="O28" s="207">
        <f>SUM(O8:O27)</f>
        <v>224000</v>
      </c>
      <c r="P28" s="204"/>
      <c r="Q28" s="204"/>
      <c r="R28" s="204"/>
      <c r="S28" s="204"/>
      <c r="T28" s="204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253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12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&amp;C&amp;K0000002023 Preliminary MORE Budget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2023 Preliminary budget</vt:lpstr>
      <vt:lpstr>Carryover</vt:lpstr>
      <vt:lpstr>2023 Cost to Libs</vt:lpstr>
      <vt:lpstr>MORE Formula w 3-yr Avg '19-'21</vt:lpstr>
      <vt:lpstr>Reserves</vt:lpstr>
      <vt:lpstr>'2023 Preliminary budget'!Print_Area</vt:lpstr>
      <vt:lpstr>Carryover!Print_Area</vt:lpstr>
      <vt:lpstr>'MORE Formula w 3-yr Avg ''19-''21'!Print_Area</vt:lpstr>
      <vt:lpstr>'2023 Cost to Libs'!Print_Titles</vt:lpstr>
      <vt:lpstr>'2023 Preliminary budget'!Print_Titles</vt:lpstr>
      <vt:lpstr>'MORE Formula w 3-yr Avg ''19-''21'!Print_Titles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2021-05-13T20:00:33Z</cp:lastPrinted>
  <dcterms:created xsi:type="dcterms:W3CDTF">2001-03-30T14:44:35Z</dcterms:created>
  <dcterms:modified xsi:type="dcterms:W3CDTF">2022-05-11T15:20:59Z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