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oholt\Desktop\VOLUME5\Administrata\2022 MORE Budget Planning\"/>
    </mc:Choice>
  </mc:AlternateContent>
  <xr:revisionPtr revIDLastSave="0" documentId="13_ncr:1_{7EF28A74-DC39-477A-9E30-D2F431E29F93}" xr6:coauthVersionLast="47" xr6:coauthVersionMax="47" xr10:uidLastSave="{00000000-0000-0000-0000-000000000000}"/>
  <bookViews>
    <workbookView xWindow="19092" yWindow="-2184" windowWidth="23256" windowHeight="13176" tabRatio="573" xr2:uid="{00000000-000D-0000-FFFF-FFFF00000000}"/>
  </bookViews>
  <sheets>
    <sheet name="2022 Recommended budget" sheetId="18" r:id="rId1"/>
    <sheet name="Carryover" sheetId="22" r:id="rId2"/>
    <sheet name="2022 Cost to Libs" sheetId="20" r:id="rId3"/>
    <sheet name="MORE Formula w 3-yr Avg '18-'20" sheetId="21" r:id="rId4"/>
    <sheet name="Reserves" sheetId="19" r:id="rId5"/>
  </sheets>
  <definedNames>
    <definedName name="_xlnm.Print_Area" localSheetId="0">'2022 Recommended budget'!$A$1:$I$52</definedName>
    <definedName name="_xlnm.Print_Area" localSheetId="1">Carryover!$A$1:$F$133</definedName>
    <definedName name="_xlnm.Print_Area" localSheetId="3">'MORE Formula w 3-yr Avg ''18-''20'!$A$1:$X$59</definedName>
    <definedName name="_xlnm.Print_Titles" localSheetId="2">'2022 Cost to Libs'!$10:$10</definedName>
    <definedName name="_xlnm.Print_Titles" localSheetId="0">'2022 Recommended budget'!$5:$6</definedName>
    <definedName name="_xlnm.Print_Titles" localSheetId="3">'MORE Formula w 3-yr Avg ''18-''20'!$B:$B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8" i="22" l="1"/>
  <c r="F5" i="21"/>
  <c r="K67" i="21"/>
  <c r="K68" i="21"/>
  <c r="K66" i="21"/>
  <c r="J69" i="21"/>
  <c r="J68" i="21"/>
  <c r="J67" i="21"/>
  <c r="J66" i="21"/>
  <c r="K9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10" i="21"/>
  <c r="J9" i="21"/>
  <c r="J59" i="21" l="1"/>
  <c r="K13" i="21" s="1"/>
  <c r="K57" i="21"/>
  <c r="K33" i="21"/>
  <c r="K21" i="21"/>
  <c r="K32" i="21"/>
  <c r="K20" i="21"/>
  <c r="K51" i="21"/>
  <c r="K47" i="21"/>
  <c r="K35" i="21"/>
  <c r="K31" i="21"/>
  <c r="K19" i="21"/>
  <c r="K15" i="21"/>
  <c r="K29" i="21"/>
  <c r="K56" i="21"/>
  <c r="K36" i="21"/>
  <c r="K28" i="21"/>
  <c r="K12" i="21"/>
  <c r="K50" i="21"/>
  <c r="K46" i="21"/>
  <c r="K34" i="21"/>
  <c r="K30" i="21"/>
  <c r="K18" i="21"/>
  <c r="K14" i="21"/>
  <c r="K25" i="21"/>
  <c r="K17" i="21"/>
  <c r="K37" i="21" l="1"/>
  <c r="K22" i="21"/>
  <c r="K38" i="21"/>
  <c r="K54" i="21"/>
  <c r="K16" i="21"/>
  <c r="K44" i="21"/>
  <c r="K53" i="21"/>
  <c r="K23" i="21"/>
  <c r="K39" i="21"/>
  <c r="K55" i="21"/>
  <c r="K40" i="21"/>
  <c r="K41" i="21"/>
  <c r="K45" i="21"/>
  <c r="K26" i="21"/>
  <c r="K42" i="21"/>
  <c r="K58" i="21"/>
  <c r="K24" i="21"/>
  <c r="K48" i="21"/>
  <c r="K11" i="21"/>
  <c r="K27" i="21"/>
  <c r="K43" i="21"/>
  <c r="K10" i="21"/>
  <c r="K52" i="21"/>
  <c r="K49" i="21"/>
  <c r="C130" i="22" l="1"/>
  <c r="M1" i="21" l="1"/>
  <c r="I32" i="21" l="1"/>
  <c r="C129" i="22"/>
  <c r="F22" i="18"/>
  <c r="E8" i="20" l="1"/>
  <c r="D79" i="20" l="1"/>
  <c r="F95" i="20" l="1"/>
  <c r="D86" i="20" l="1"/>
  <c r="D81" i="20" l="1"/>
  <c r="E47" i="18" l="1"/>
  <c r="D82" i="20" l="1"/>
  <c r="D83" i="20"/>
  <c r="D84" i="20"/>
  <c r="D85" i="20"/>
  <c r="D87" i="20"/>
  <c r="D88" i="20"/>
  <c r="D89" i="20"/>
  <c r="D90" i="20"/>
  <c r="D91" i="20"/>
  <c r="D92" i="20"/>
  <c r="D93" i="20"/>
  <c r="D94" i="20"/>
  <c r="D80" i="20"/>
  <c r="D75" i="20"/>
  <c r="D76" i="20"/>
  <c r="D77" i="20"/>
  <c r="D74" i="20"/>
  <c r="D73" i="20"/>
  <c r="F39" i="18" l="1"/>
  <c r="F38" i="18"/>
  <c r="F37" i="18"/>
  <c r="F36" i="18"/>
  <c r="F35" i="18"/>
  <c r="F33" i="18"/>
  <c r="F32" i="18"/>
  <c r="F31" i="18"/>
  <c r="F29" i="18"/>
  <c r="F28" i="18"/>
  <c r="F26" i="18"/>
  <c r="F25" i="18"/>
  <c r="F13" i="18"/>
  <c r="F14" i="18"/>
  <c r="F15" i="18"/>
  <c r="F16" i="18"/>
  <c r="F17" i="18"/>
  <c r="F18" i="18"/>
  <c r="F19" i="18"/>
  <c r="F20" i="18"/>
  <c r="F21" i="18"/>
  <c r="F12" i="18"/>
  <c r="H47" i="18" l="1"/>
  <c r="D47" i="18"/>
  <c r="D4" i="20" l="1"/>
  <c r="J47" i="18"/>
  <c r="E5" i="21"/>
  <c r="H40" i="18"/>
  <c r="H5" i="21" s="1"/>
  <c r="D40" i="18"/>
  <c r="F108" i="22" l="1"/>
  <c r="F45" i="18" l="1"/>
  <c r="F47" i="18" s="1"/>
  <c r="F40" i="18"/>
  <c r="E59" i="21" l="1"/>
  <c r="F32" i="21" s="1"/>
  <c r="E7" i="20" l="1"/>
  <c r="D5" i="20" l="1"/>
  <c r="I10" i="21" l="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3" i="21"/>
  <c r="I34" i="21"/>
  <c r="I35" i="21"/>
  <c r="I36" i="21"/>
  <c r="I37" i="21"/>
  <c r="I38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9" i="21"/>
  <c r="I39" i="21"/>
  <c r="C89" i="22" l="1"/>
  <c r="N50" i="21" l="1"/>
  <c r="G28" i="20" s="1"/>
  <c r="N22" i="21"/>
  <c r="G39" i="20" s="1"/>
  <c r="D95" i="20"/>
  <c r="N28" i="21" l="1"/>
  <c r="K69" i="21"/>
  <c r="N28" i="19"/>
  <c r="N59" i="21" l="1"/>
  <c r="G20" i="20"/>
  <c r="G66" i="20" s="1"/>
  <c r="C86" i="22"/>
  <c r="M28" i="19"/>
  <c r="O8" i="19"/>
  <c r="C20" i="22"/>
  <c r="C28" i="22" s="1"/>
  <c r="C29" i="22"/>
  <c r="C38" i="22"/>
  <c r="C39" i="22"/>
  <c r="C44" i="22"/>
  <c r="C75" i="22"/>
  <c r="X59" i="21"/>
  <c r="W59" i="21"/>
  <c r="U59" i="21"/>
  <c r="T59" i="21"/>
  <c r="L28" i="19"/>
  <c r="C9" i="19"/>
  <c r="C10" i="19"/>
  <c r="C15" i="19"/>
  <c r="C20" i="19"/>
  <c r="C21" i="19"/>
  <c r="D9" i="19"/>
  <c r="D10" i="19"/>
  <c r="D15" i="19"/>
  <c r="D20" i="19"/>
  <c r="D21" i="19"/>
  <c r="E9" i="19"/>
  <c r="E10" i="19"/>
  <c r="E15" i="19"/>
  <c r="E20" i="19"/>
  <c r="E21" i="19"/>
  <c r="F10" i="19"/>
  <c r="F15" i="19"/>
  <c r="F21" i="19"/>
  <c r="G28" i="19"/>
  <c r="H28" i="19"/>
  <c r="I28" i="19"/>
  <c r="J28" i="19"/>
  <c r="K28" i="19"/>
  <c r="I59" i="21"/>
  <c r="I14" i="20"/>
  <c r="G59" i="21"/>
  <c r="H32" i="21" s="1"/>
  <c r="D62" i="20" l="1"/>
  <c r="H10" i="21"/>
  <c r="H14" i="21"/>
  <c r="H18" i="21"/>
  <c r="H22" i="21"/>
  <c r="H26" i="21"/>
  <c r="H30" i="21"/>
  <c r="H35" i="21"/>
  <c r="H39" i="21"/>
  <c r="H43" i="21"/>
  <c r="H47" i="21"/>
  <c r="H51" i="21"/>
  <c r="H55" i="21"/>
  <c r="H9" i="21"/>
  <c r="H15" i="21"/>
  <c r="H27" i="21"/>
  <c r="H36" i="21"/>
  <c r="H48" i="21"/>
  <c r="H56" i="21"/>
  <c r="H16" i="21"/>
  <c r="H24" i="21"/>
  <c r="H28" i="21"/>
  <c r="H37" i="21"/>
  <c r="H45" i="21"/>
  <c r="H53" i="21"/>
  <c r="H13" i="21"/>
  <c r="H17" i="21"/>
  <c r="H21" i="21"/>
  <c r="H25" i="21"/>
  <c r="H29" i="21"/>
  <c r="H34" i="21"/>
  <c r="H38" i="21"/>
  <c r="H42" i="21"/>
  <c r="H46" i="21"/>
  <c r="H50" i="21"/>
  <c r="H54" i="21"/>
  <c r="H58" i="21"/>
  <c r="H11" i="21"/>
  <c r="H19" i="21"/>
  <c r="H23" i="21"/>
  <c r="H31" i="21"/>
  <c r="H40" i="21"/>
  <c r="H44" i="21"/>
  <c r="H52" i="21"/>
  <c r="H12" i="21"/>
  <c r="H20" i="21"/>
  <c r="H33" i="21"/>
  <c r="H41" i="21"/>
  <c r="H49" i="21"/>
  <c r="H57" i="21"/>
  <c r="F12" i="21"/>
  <c r="F16" i="21"/>
  <c r="F20" i="21"/>
  <c r="F24" i="21"/>
  <c r="F28" i="21"/>
  <c r="F33" i="21"/>
  <c r="F37" i="21"/>
  <c r="F41" i="21"/>
  <c r="F45" i="21"/>
  <c r="F49" i="21"/>
  <c r="F53" i="21"/>
  <c r="F57" i="21"/>
  <c r="F15" i="21"/>
  <c r="F27" i="21"/>
  <c r="F40" i="21"/>
  <c r="F52" i="21"/>
  <c r="F13" i="21"/>
  <c r="F17" i="21"/>
  <c r="F21" i="21"/>
  <c r="F25" i="21"/>
  <c r="F29" i="21"/>
  <c r="F34" i="21"/>
  <c r="F38" i="21"/>
  <c r="F42" i="21"/>
  <c r="F46" i="21"/>
  <c r="F50" i="21"/>
  <c r="F54" i="21"/>
  <c r="F58" i="21"/>
  <c r="F19" i="21"/>
  <c r="F31" i="21"/>
  <c r="F44" i="21"/>
  <c r="F56" i="21"/>
  <c r="F10" i="21"/>
  <c r="F14" i="21"/>
  <c r="F18" i="21"/>
  <c r="F22" i="21"/>
  <c r="F26" i="21"/>
  <c r="F30" i="21"/>
  <c r="F35" i="21"/>
  <c r="F39" i="21"/>
  <c r="F43" i="21"/>
  <c r="F47" i="21"/>
  <c r="F51" i="21"/>
  <c r="F55" i="21"/>
  <c r="F9" i="21"/>
  <c r="F11" i="21"/>
  <c r="F23" i="21"/>
  <c r="F36" i="21"/>
  <c r="F48" i="21"/>
  <c r="D38" i="20"/>
  <c r="I38" i="20" s="1"/>
  <c r="D30" i="20"/>
  <c r="I30" i="20" s="1"/>
  <c r="D61" i="20"/>
  <c r="D32" i="20"/>
  <c r="I32" i="20" s="1"/>
  <c r="D40" i="20"/>
  <c r="I40" i="20" s="1"/>
  <c r="D57" i="20"/>
  <c r="I57" i="20" s="1"/>
  <c r="D23" i="20"/>
  <c r="I23" i="20" s="1"/>
  <c r="D33" i="20"/>
  <c r="I33" i="20" s="1"/>
  <c r="D11" i="20"/>
  <c r="D36" i="20"/>
  <c r="I36" i="20" s="1"/>
  <c r="D25" i="20"/>
  <c r="I25" i="20" s="1"/>
  <c r="D15" i="20"/>
  <c r="I15" i="20" s="1"/>
  <c r="D60" i="20"/>
  <c r="I60" i="20" s="1"/>
  <c r="D18" i="20"/>
  <c r="I18" i="20" s="1"/>
  <c r="D48" i="20"/>
  <c r="I48" i="20" s="1"/>
  <c r="D50" i="20"/>
  <c r="I50" i="20" s="1"/>
  <c r="D53" i="20"/>
  <c r="I53" i="20" s="1"/>
  <c r="D46" i="20"/>
  <c r="I46" i="20" s="1"/>
  <c r="D52" i="20"/>
  <c r="I52" i="20" s="1"/>
  <c r="D24" i="20"/>
  <c r="I24" i="20" s="1"/>
  <c r="D42" i="20"/>
  <c r="I42" i="20" s="1"/>
  <c r="D56" i="20"/>
  <c r="I56" i="20" s="1"/>
  <c r="D34" i="20"/>
  <c r="I34" i="20" s="1"/>
  <c r="D21" i="20"/>
  <c r="I21" i="20" s="1"/>
  <c r="D29" i="20"/>
  <c r="I29" i="20" s="1"/>
  <c r="D19" i="20"/>
  <c r="I19" i="20" s="1"/>
  <c r="D54" i="20"/>
  <c r="I54" i="20" s="1"/>
  <c r="D49" i="20"/>
  <c r="I49" i="20" s="1"/>
  <c r="D51" i="20"/>
  <c r="I51" i="20" s="1"/>
  <c r="D22" i="20"/>
  <c r="I22" i="20" s="1"/>
  <c r="D39" i="20"/>
  <c r="I39" i="20" s="1"/>
  <c r="D59" i="20"/>
  <c r="I59" i="20" s="1"/>
  <c r="D44" i="20"/>
  <c r="I44" i="20" s="1"/>
  <c r="D13" i="20"/>
  <c r="I13" i="20" s="1"/>
  <c r="D12" i="20"/>
  <c r="I12" i="20" s="1"/>
  <c r="D16" i="20"/>
  <c r="I16" i="20" s="1"/>
  <c r="D27" i="20"/>
  <c r="I27" i="20" s="1"/>
  <c r="D17" i="20"/>
  <c r="I17" i="20" s="1"/>
  <c r="D28" i="20"/>
  <c r="I28" i="20" s="1"/>
  <c r="D35" i="20"/>
  <c r="I35" i="20" s="1"/>
  <c r="D31" i="20"/>
  <c r="I31" i="20" s="1"/>
  <c r="D55" i="20"/>
  <c r="I55" i="20" s="1"/>
  <c r="D45" i="20"/>
  <c r="I45" i="20" s="1"/>
  <c r="D41" i="20"/>
  <c r="I41" i="20" s="1"/>
  <c r="D58" i="20"/>
  <c r="I58" i="20" s="1"/>
  <c r="D20" i="20"/>
  <c r="I20" i="20" s="1"/>
  <c r="D37" i="20"/>
  <c r="I37" i="20" s="1"/>
  <c r="D47" i="20"/>
  <c r="I47" i="20" s="1"/>
  <c r="D43" i="20"/>
  <c r="I43" i="20" s="1"/>
  <c r="E20" i="22"/>
  <c r="F25" i="19"/>
  <c r="F28" i="19" s="1"/>
  <c r="O10" i="19"/>
  <c r="O20" i="19"/>
  <c r="E25" i="19"/>
  <c r="E28" i="19" s="1"/>
  <c r="O15" i="19"/>
  <c r="D25" i="19"/>
  <c r="D28" i="19" s="1"/>
  <c r="O21" i="19"/>
  <c r="O9" i="19"/>
  <c r="G5" i="21"/>
  <c r="I26" i="20"/>
  <c r="C25" i="19"/>
  <c r="J9" i="20"/>
  <c r="J62" i="20" s="1"/>
  <c r="E28" i="22"/>
  <c r="C43" i="22"/>
  <c r="L9" i="21" l="1"/>
  <c r="L30" i="21"/>
  <c r="L57" i="21"/>
  <c r="M57" i="21" s="1"/>
  <c r="L29" i="21"/>
  <c r="M29" i="21" s="1"/>
  <c r="L14" i="21"/>
  <c r="L47" i="21"/>
  <c r="M47" i="21" s="1"/>
  <c r="L36" i="21"/>
  <c r="L31" i="21"/>
  <c r="M31" i="21" s="1"/>
  <c r="L32" i="21"/>
  <c r="L18" i="21"/>
  <c r="L51" i="21"/>
  <c r="M51" i="21" s="1"/>
  <c r="L20" i="21"/>
  <c r="M20" i="21" s="1"/>
  <c r="L13" i="21"/>
  <c r="L50" i="21"/>
  <c r="M50" i="21" s="1"/>
  <c r="L56" i="21"/>
  <c r="L25" i="21"/>
  <c r="M25" i="21" s="1"/>
  <c r="L35" i="21"/>
  <c r="L46" i="21"/>
  <c r="L21" i="21"/>
  <c r="M21" i="21" s="1"/>
  <c r="L19" i="21"/>
  <c r="M19" i="21" s="1"/>
  <c r="L34" i="21"/>
  <c r="L28" i="21"/>
  <c r="M28" i="21" s="1"/>
  <c r="L17" i="21"/>
  <c r="M17" i="21" s="1"/>
  <c r="L12" i="21"/>
  <c r="M12" i="21" s="1"/>
  <c r="L15" i="21"/>
  <c r="M15" i="21" s="1"/>
  <c r="L33" i="21"/>
  <c r="L58" i="21"/>
  <c r="M58" i="21" s="1"/>
  <c r="L38" i="21"/>
  <c r="M38" i="21" s="1"/>
  <c r="L55" i="21"/>
  <c r="L41" i="21"/>
  <c r="M41" i="21" s="1"/>
  <c r="L53" i="21"/>
  <c r="M53" i="21" s="1"/>
  <c r="L39" i="21"/>
  <c r="M39" i="21" s="1"/>
  <c r="L10" i="21"/>
  <c r="L44" i="21"/>
  <c r="M44" i="21" s="1"/>
  <c r="L54" i="21"/>
  <c r="M54" i="21" s="1"/>
  <c r="L43" i="21"/>
  <c r="M43" i="21" s="1"/>
  <c r="L16" i="21"/>
  <c r="M16" i="21" s="1"/>
  <c r="L11" i="21"/>
  <c r="M11" i="21" s="1"/>
  <c r="L48" i="21"/>
  <c r="M48" i="21" s="1"/>
  <c r="L22" i="21"/>
  <c r="M22" i="21" s="1"/>
  <c r="L52" i="21"/>
  <c r="L24" i="21"/>
  <c r="L37" i="21"/>
  <c r="M37" i="21" s="1"/>
  <c r="L40" i="21"/>
  <c r="M40" i="21" s="1"/>
  <c r="L26" i="21"/>
  <c r="M26" i="21" s="1"/>
  <c r="L42" i="21"/>
  <c r="M42" i="21" s="1"/>
  <c r="L45" i="21"/>
  <c r="M45" i="21" s="1"/>
  <c r="L23" i="21"/>
  <c r="M23" i="21" s="1"/>
  <c r="L49" i="21"/>
  <c r="M49" i="21" s="1"/>
  <c r="L27" i="21"/>
  <c r="P32" i="21"/>
  <c r="M27" i="21"/>
  <c r="M35" i="21"/>
  <c r="M55" i="21"/>
  <c r="M9" i="21"/>
  <c r="M24" i="21"/>
  <c r="M32" i="21"/>
  <c r="O32" i="21" s="1"/>
  <c r="M36" i="21"/>
  <c r="M52" i="21"/>
  <c r="M56" i="21"/>
  <c r="M13" i="21"/>
  <c r="M33" i="21"/>
  <c r="M10" i="21"/>
  <c r="M14" i="21"/>
  <c r="M18" i="21"/>
  <c r="M30" i="21"/>
  <c r="M34" i="21"/>
  <c r="M46" i="21"/>
  <c r="P53" i="21"/>
  <c r="P10" i="21"/>
  <c r="J58" i="20"/>
  <c r="P9" i="21"/>
  <c r="P16" i="21"/>
  <c r="F59" i="21"/>
  <c r="P48" i="21"/>
  <c r="P52" i="21"/>
  <c r="P55" i="21"/>
  <c r="P17" i="21"/>
  <c r="P35" i="21"/>
  <c r="P30" i="21"/>
  <c r="P56" i="21"/>
  <c r="P51" i="21"/>
  <c r="P54" i="21"/>
  <c r="P38" i="21"/>
  <c r="P47" i="21"/>
  <c r="P33" i="21"/>
  <c r="P57" i="21"/>
  <c r="P23" i="21"/>
  <c r="P12" i="21"/>
  <c r="P15" i="21"/>
  <c r="P24" i="21"/>
  <c r="P43" i="21"/>
  <c r="P11" i="21"/>
  <c r="P46" i="21"/>
  <c r="P25" i="21"/>
  <c r="P29" i="21"/>
  <c r="P21" i="21"/>
  <c r="P28" i="21"/>
  <c r="P40" i="21"/>
  <c r="P37" i="21"/>
  <c r="P34" i="21"/>
  <c r="P58" i="21"/>
  <c r="P49" i="21"/>
  <c r="P13" i="21"/>
  <c r="P39" i="21"/>
  <c r="P20" i="21"/>
  <c r="P19" i="21"/>
  <c r="P22" i="21"/>
  <c r="P41" i="21"/>
  <c r="P50" i="21"/>
  <c r="P42" i="21"/>
  <c r="P45" i="21"/>
  <c r="P44" i="21"/>
  <c r="P14" i="21"/>
  <c r="O25" i="19"/>
  <c r="O28" i="19" s="1"/>
  <c r="C28" i="19"/>
  <c r="C30" i="19" s="1"/>
  <c r="D30" i="19" s="1"/>
  <c r="E30" i="19" s="1"/>
  <c r="F30" i="19" s="1"/>
  <c r="G30" i="19" s="1"/>
  <c r="H30" i="19" s="1"/>
  <c r="I30" i="19" s="1"/>
  <c r="J30" i="19" s="1"/>
  <c r="K30" i="19" s="1"/>
  <c r="L30" i="19" s="1"/>
  <c r="M30" i="19" s="1"/>
  <c r="N30" i="19" s="1"/>
  <c r="D6" i="20"/>
  <c r="K9" i="20" s="1"/>
  <c r="H59" i="21"/>
  <c r="P36" i="21"/>
  <c r="P18" i="21"/>
  <c r="P31" i="21"/>
  <c r="P27" i="21"/>
  <c r="P26" i="21"/>
  <c r="K59" i="21"/>
  <c r="J19" i="20"/>
  <c r="J15" i="20"/>
  <c r="J17" i="20"/>
  <c r="J14" i="20"/>
  <c r="J48" i="20"/>
  <c r="J21" i="20"/>
  <c r="J33" i="20"/>
  <c r="J18" i="20"/>
  <c r="J43" i="20"/>
  <c r="J22" i="20"/>
  <c r="J59" i="20"/>
  <c r="J60" i="20"/>
  <c r="J46" i="20"/>
  <c r="J57" i="20"/>
  <c r="J20" i="20"/>
  <c r="J35" i="20"/>
  <c r="J45" i="20"/>
  <c r="J37" i="20"/>
  <c r="J11" i="20"/>
  <c r="J41" i="20"/>
  <c r="J30" i="20"/>
  <c r="J42" i="20"/>
  <c r="J56" i="20"/>
  <c r="J47" i="20"/>
  <c r="J25" i="20"/>
  <c r="J55" i="20"/>
  <c r="J32" i="20"/>
  <c r="J31" i="20"/>
  <c r="J50" i="20"/>
  <c r="J51" i="20"/>
  <c r="J34" i="20"/>
  <c r="J40" i="20"/>
  <c r="J54" i="20"/>
  <c r="J39" i="20"/>
  <c r="J26" i="20"/>
  <c r="J24" i="20"/>
  <c r="J16" i="20"/>
  <c r="J49" i="20"/>
  <c r="J38" i="20"/>
  <c r="J44" i="20"/>
  <c r="J36" i="20"/>
  <c r="J61" i="20"/>
  <c r="J27" i="20"/>
  <c r="J53" i="20"/>
  <c r="J13" i="20"/>
  <c r="J28" i="20"/>
  <c r="J52" i="20"/>
  <c r="J23" i="20"/>
  <c r="J12" i="20"/>
  <c r="J29" i="20"/>
  <c r="C54" i="22"/>
  <c r="E43" i="22"/>
  <c r="E19" i="20" l="1"/>
  <c r="F19" i="20" s="1"/>
  <c r="E62" i="20"/>
  <c r="O42" i="21"/>
  <c r="O45" i="21"/>
  <c r="R45" i="21" s="1"/>
  <c r="O44" i="21"/>
  <c r="O54" i="21"/>
  <c r="R54" i="21" s="1"/>
  <c r="O9" i="21"/>
  <c r="O23" i="21"/>
  <c r="R23" i="21" s="1"/>
  <c r="O26" i="21"/>
  <c r="O30" i="21"/>
  <c r="R30" i="21" s="1"/>
  <c r="O55" i="21"/>
  <c r="O39" i="21"/>
  <c r="Q39" i="21" s="1"/>
  <c r="O14" i="21"/>
  <c r="O38" i="21"/>
  <c r="R38" i="21" s="1"/>
  <c r="O52" i="21"/>
  <c r="O10" i="21"/>
  <c r="Q10" i="21" s="1"/>
  <c r="O58" i="21"/>
  <c r="O36" i="21"/>
  <c r="O27" i="21"/>
  <c r="O28" i="21"/>
  <c r="Q28" i="21" s="1"/>
  <c r="O16" i="21"/>
  <c r="O34" i="21"/>
  <c r="R34" i="21" s="1"/>
  <c r="O49" i="21"/>
  <c r="O12" i="21"/>
  <c r="R12" i="21" s="1"/>
  <c r="O33" i="21"/>
  <c r="O51" i="21"/>
  <c r="O57" i="21"/>
  <c r="O15" i="21"/>
  <c r="R15" i="21" s="1"/>
  <c r="O24" i="21"/>
  <c r="O11" i="21"/>
  <c r="O37" i="21"/>
  <c r="O17" i="21"/>
  <c r="Q17" i="21" s="1"/>
  <c r="O25" i="21"/>
  <c r="O53" i="21"/>
  <c r="R53" i="21" s="1"/>
  <c r="O47" i="21"/>
  <c r="O22" i="21"/>
  <c r="O50" i="21"/>
  <c r="O19" i="21"/>
  <c r="O41" i="21"/>
  <c r="O21" i="21"/>
  <c r="Q21" i="21" s="1"/>
  <c r="O35" i="21"/>
  <c r="O18" i="21"/>
  <c r="O40" i="21"/>
  <c r="O46" i="21"/>
  <c r="Q46" i="21" s="1"/>
  <c r="O13" i="21"/>
  <c r="O20" i="21"/>
  <c r="O29" i="21"/>
  <c r="O31" i="21"/>
  <c r="R31" i="21" s="1"/>
  <c r="O56" i="21"/>
  <c r="O48" i="21"/>
  <c r="Q48" i="21" s="1"/>
  <c r="O43" i="21"/>
  <c r="E23" i="20"/>
  <c r="F23" i="20" s="1"/>
  <c r="E25" i="20"/>
  <c r="F25" i="20" s="1"/>
  <c r="E50" i="20"/>
  <c r="F50" i="20" s="1"/>
  <c r="E60" i="20"/>
  <c r="F60" i="20" s="1"/>
  <c r="E22" i="20"/>
  <c r="F22" i="20" s="1"/>
  <c r="L59" i="21"/>
  <c r="E51" i="20"/>
  <c r="F51" i="20" s="1"/>
  <c r="E56" i="20"/>
  <c r="F56" i="20" s="1"/>
  <c r="E43" i="20"/>
  <c r="F43" i="20" s="1"/>
  <c r="E38" i="20"/>
  <c r="F38" i="20" s="1"/>
  <c r="E11" i="20"/>
  <c r="F11" i="20" s="1"/>
  <c r="E37" i="20"/>
  <c r="F37" i="20" s="1"/>
  <c r="E44" i="20"/>
  <c r="F44" i="20" s="1"/>
  <c r="P59" i="21"/>
  <c r="E33" i="20"/>
  <c r="F33" i="20" s="1"/>
  <c r="E57" i="20"/>
  <c r="F57" i="20" s="1"/>
  <c r="E45" i="20"/>
  <c r="F45" i="20" s="1"/>
  <c r="E26" i="20"/>
  <c r="F26" i="20" s="1"/>
  <c r="E42" i="20"/>
  <c r="F42" i="20" s="1"/>
  <c r="E21" i="20"/>
  <c r="F21" i="20" s="1"/>
  <c r="E52" i="20"/>
  <c r="F52" i="20" s="1"/>
  <c r="E14" i="20"/>
  <c r="E39" i="20"/>
  <c r="F39" i="20" s="1"/>
  <c r="E46" i="20"/>
  <c r="F46" i="20" s="1"/>
  <c r="E17" i="20"/>
  <c r="F17" i="20" s="1"/>
  <c r="E58" i="20"/>
  <c r="F58" i="20" s="1"/>
  <c r="E16" i="20"/>
  <c r="F16" i="20" s="1"/>
  <c r="E32" i="20"/>
  <c r="F32" i="20" s="1"/>
  <c r="E15" i="20"/>
  <c r="F15" i="20" s="1"/>
  <c r="E24" i="20"/>
  <c r="F24" i="20" s="1"/>
  <c r="E31" i="20"/>
  <c r="F31" i="20" s="1"/>
  <c r="E30" i="20"/>
  <c r="F30" i="20" s="1"/>
  <c r="E54" i="20"/>
  <c r="F54" i="20" s="1"/>
  <c r="E53" i="20"/>
  <c r="F53" i="20" s="1"/>
  <c r="E35" i="20"/>
  <c r="F35" i="20" s="1"/>
  <c r="E27" i="20"/>
  <c r="F27" i="20" s="1"/>
  <c r="E40" i="20"/>
  <c r="F40" i="20" s="1"/>
  <c r="E13" i="20"/>
  <c r="F13" i="20" s="1"/>
  <c r="E29" i="20"/>
  <c r="F29" i="20" s="1"/>
  <c r="E48" i="20"/>
  <c r="F48" i="20" s="1"/>
  <c r="E47" i="20"/>
  <c r="F47" i="20" s="1"/>
  <c r="E41" i="20"/>
  <c r="F41" i="20" s="1"/>
  <c r="E12" i="20"/>
  <c r="F12" i="20" s="1"/>
  <c r="E34" i="20"/>
  <c r="F34" i="20" s="1"/>
  <c r="E59" i="20"/>
  <c r="F59" i="20" s="1"/>
  <c r="E18" i="20"/>
  <c r="F18" i="20" s="1"/>
  <c r="E55" i="20"/>
  <c r="F55" i="20" s="1"/>
  <c r="E61" i="20"/>
  <c r="F61" i="20" s="1"/>
  <c r="E36" i="20"/>
  <c r="F36" i="20" s="1"/>
  <c r="E49" i="20"/>
  <c r="F49" i="20" s="1"/>
  <c r="E20" i="20"/>
  <c r="F20" i="20" s="1"/>
  <c r="E28" i="20"/>
  <c r="F28" i="20" s="1"/>
  <c r="I11" i="20"/>
  <c r="I66" i="20" s="1"/>
  <c r="D66" i="20"/>
  <c r="J66" i="20"/>
  <c r="C60" i="22"/>
  <c r="E60" i="22" s="1"/>
  <c r="C69" i="22" s="1"/>
  <c r="E69" i="22" s="1"/>
  <c r="C76" i="22" s="1"/>
  <c r="E54" i="22"/>
  <c r="H19" i="20" l="1"/>
  <c r="K19" i="20" s="1"/>
  <c r="F62" i="20"/>
  <c r="H62" i="20" s="1"/>
  <c r="K62" i="20" s="1"/>
  <c r="Q22" i="21"/>
  <c r="R22" i="21"/>
  <c r="R44" i="21"/>
  <c r="Q44" i="21"/>
  <c r="Q26" i="21"/>
  <c r="R26" i="21"/>
  <c r="R9" i="21"/>
  <c r="Q9" i="21"/>
  <c r="R14" i="21"/>
  <c r="Q14" i="21"/>
  <c r="R55" i="21"/>
  <c r="Q55" i="21"/>
  <c r="R42" i="21"/>
  <c r="Q42" i="21"/>
  <c r="H28" i="20"/>
  <c r="H61" i="20"/>
  <c r="H34" i="20"/>
  <c r="H48" i="20"/>
  <c r="H27" i="20"/>
  <c r="H30" i="20"/>
  <c r="H32" i="20"/>
  <c r="H46" i="20"/>
  <c r="H21" i="20"/>
  <c r="H57" i="20"/>
  <c r="H37" i="20"/>
  <c r="H56" i="20"/>
  <c r="H60" i="20"/>
  <c r="H23" i="20"/>
  <c r="H20" i="20"/>
  <c r="H55" i="20"/>
  <c r="H12" i="20"/>
  <c r="H29" i="20"/>
  <c r="H35" i="20"/>
  <c r="H31" i="20"/>
  <c r="H16" i="20"/>
  <c r="H39" i="20"/>
  <c r="H42" i="20"/>
  <c r="H33" i="20"/>
  <c r="H11" i="20"/>
  <c r="H51" i="20"/>
  <c r="H50" i="20"/>
  <c r="H49" i="20"/>
  <c r="H18" i="20"/>
  <c r="H41" i="20"/>
  <c r="H13" i="20"/>
  <c r="H53" i="20"/>
  <c r="H24" i="20"/>
  <c r="H58" i="20"/>
  <c r="H14" i="20"/>
  <c r="K14" i="20" s="1"/>
  <c r="H26" i="20"/>
  <c r="K26" i="20" s="1"/>
  <c r="H38" i="20"/>
  <c r="H36" i="20"/>
  <c r="H59" i="20"/>
  <c r="H47" i="20"/>
  <c r="H40" i="20"/>
  <c r="H54" i="20"/>
  <c r="H15" i="20"/>
  <c r="H17" i="20"/>
  <c r="H52" i="20"/>
  <c r="H45" i="20"/>
  <c r="H44" i="20"/>
  <c r="H43" i="20"/>
  <c r="H22" i="20"/>
  <c r="H25" i="20"/>
  <c r="Q23" i="21"/>
  <c r="R36" i="21"/>
  <c r="Q36" i="21"/>
  <c r="Q11" i="21"/>
  <c r="R11" i="21"/>
  <c r="R18" i="21"/>
  <c r="Q18" i="21"/>
  <c r="R51" i="21"/>
  <c r="Q51" i="21"/>
  <c r="Q20" i="21"/>
  <c r="R20" i="21"/>
  <c r="Q58" i="21"/>
  <c r="R58" i="21"/>
  <c r="Q19" i="21"/>
  <c r="R19" i="21"/>
  <c r="M59" i="21"/>
  <c r="R17" i="21"/>
  <c r="Q45" i="21"/>
  <c r="Q38" i="21"/>
  <c r="Q43" i="21"/>
  <c r="R43" i="21"/>
  <c r="R57" i="21"/>
  <c r="Q57" i="21"/>
  <c r="Q50" i="21"/>
  <c r="R50" i="21"/>
  <c r="R24" i="21"/>
  <c r="Q24" i="21"/>
  <c r="R16" i="21"/>
  <c r="Q16" i="21"/>
  <c r="O59" i="21"/>
  <c r="R59" i="21" s="1"/>
  <c r="Q40" i="21"/>
  <c r="R40" i="21"/>
  <c r="Q13" i="21"/>
  <c r="R13" i="21"/>
  <c r="R29" i="21"/>
  <c r="Q29" i="21"/>
  <c r="R41" i="21"/>
  <c r="Q41" i="21"/>
  <c r="R37" i="21"/>
  <c r="Q37" i="21"/>
  <c r="R49" i="21"/>
  <c r="Q49" i="21"/>
  <c r="Q47" i="21"/>
  <c r="R47" i="21"/>
  <c r="R27" i="21"/>
  <c r="Q27" i="21"/>
  <c r="R56" i="21"/>
  <c r="Q56" i="21"/>
  <c r="R35" i="21"/>
  <c r="Q35" i="21"/>
  <c r="R25" i="21"/>
  <c r="Q25" i="21"/>
  <c r="R33" i="21"/>
  <c r="Q33" i="21"/>
  <c r="Q52" i="21"/>
  <c r="R52" i="21"/>
  <c r="R48" i="21"/>
  <c r="Q54" i="21"/>
  <c r="Q15" i="21"/>
  <c r="Q53" i="21"/>
  <c r="R46" i="21"/>
  <c r="Q12" i="21"/>
  <c r="Q30" i="21"/>
  <c r="R39" i="21"/>
  <c r="Q34" i="21"/>
  <c r="R21" i="21"/>
  <c r="R28" i="21"/>
  <c r="Q31" i="21"/>
  <c r="R10" i="21"/>
  <c r="E66" i="20"/>
  <c r="C82" i="22"/>
  <c r="E76" i="22"/>
  <c r="F66" i="20" l="1"/>
  <c r="H64" i="20"/>
  <c r="H66" i="20" s="1"/>
  <c r="K25" i="20"/>
  <c r="K43" i="20"/>
  <c r="K45" i="20"/>
  <c r="K17" i="20"/>
  <c r="K54" i="20"/>
  <c r="K47" i="20"/>
  <c r="K36" i="20"/>
  <c r="K58" i="20"/>
  <c r="K53" i="20"/>
  <c r="K41" i="20"/>
  <c r="K49" i="20"/>
  <c r="K51" i="20"/>
  <c r="K33" i="20"/>
  <c r="K39" i="20"/>
  <c r="K31" i="20"/>
  <c r="K29" i="20"/>
  <c r="K55" i="20"/>
  <c r="K23" i="20"/>
  <c r="K56" i="20"/>
  <c r="K57" i="20"/>
  <c r="K46" i="20"/>
  <c r="K30" i="20"/>
  <c r="K48" i="20"/>
  <c r="K61" i="20"/>
  <c r="K22" i="20"/>
  <c r="K44" i="20"/>
  <c r="K52" i="20"/>
  <c r="K15" i="20"/>
  <c r="K40" i="20"/>
  <c r="K59" i="20"/>
  <c r="K38" i="20"/>
  <c r="K24" i="20"/>
  <c r="K13" i="20"/>
  <c r="K18" i="20"/>
  <c r="K50" i="20"/>
  <c r="K11" i="20"/>
  <c r="K42" i="20"/>
  <c r="K16" i="20"/>
  <c r="K35" i="20"/>
  <c r="K12" i="20"/>
  <c r="K20" i="20"/>
  <c r="K60" i="20"/>
  <c r="K37" i="20"/>
  <c r="K21" i="20"/>
  <c r="K32" i="20"/>
  <c r="K27" i="20"/>
  <c r="K34" i="20"/>
  <c r="K28" i="20"/>
  <c r="Q59" i="21"/>
  <c r="E82" i="22"/>
  <c r="K66" i="20" l="1"/>
  <c r="C91" i="22"/>
  <c r="E91" i="22" l="1"/>
  <c r="C97" i="22"/>
  <c r="C102" i="22" s="1"/>
  <c r="E102" i="22" l="1"/>
  <c r="C108" i="22"/>
  <c r="C114" i="22" s="1"/>
  <c r="E97" i="22"/>
  <c r="E114" i="22" l="1"/>
  <c r="C120" i="22"/>
  <c r="E108" i="22"/>
  <c r="E120" i="22" l="1"/>
  <c r="C126" i="22"/>
  <c r="D51" i="18" s="1"/>
  <c r="E126" i="22" l="1"/>
  <c r="C133" i="22"/>
  <c r="F51" i="18" l="1"/>
  <c r="H51" i="18"/>
  <c r="E133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D9" authorId="0" shapeId="0" xr:uid="{0459B00E-872D-4B8D-B428-1F71B52952A6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Per III's 2021 Renewal quotes, 5-20-2020</t>
        </r>
      </text>
    </comment>
    <comment ref="F9" authorId="0" shapeId="0" xr:uid="{2A8C8AC0-3DEE-4704-B9BB-14447BEC99DC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Per III's 2021 Renewal quotes, 5-20-2020</t>
        </r>
      </text>
    </comment>
    <comment ref="H15" authorId="0" shapeId="0" xr:uid="{1C140411-7346-4F1E-B9B5-1B7A136702BB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per LSMA yr. 3</t>
        </r>
      </text>
    </comment>
    <comment ref="H16" authorId="0" shapeId="0" xr:uid="{E98EA83C-FA5A-48B6-899C-E5E336EBC41F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5% estimated increase</t>
        </r>
      </text>
    </comment>
    <comment ref="H17" authorId="0" shapeId="0" xr:uid="{46C7CF30-354A-4D6E-BE66-0F35EE0E708A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5% estimated increase</t>
        </r>
      </text>
    </comment>
    <comment ref="H18" authorId="0" shapeId="0" xr:uid="{39FF44EE-4A73-43E1-B9AD-29AEBED42D7F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5% estimated increase</t>
        </r>
      </text>
    </comment>
    <comment ref="H19" authorId="0" shapeId="0" xr:uid="{5D977F48-0EAA-46E8-82C1-60CDAFE66361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25% of BiblioCore cost</t>
        </r>
      </text>
    </comment>
    <comment ref="D2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roholt:
</t>
        </r>
        <r>
          <rPr>
            <sz val="9"/>
            <color indexed="81"/>
            <rFont val="Tahoma"/>
            <family val="2"/>
          </rPr>
          <t>3.5% increase per JT: $298,494; increase eliminated per 6-7</t>
        </r>
      </text>
    </comment>
    <comment ref="D35" authorId="0" shapeId="0" xr:uid="{FA6AD063-326E-484D-8082-CE134179403C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Per WPLC budget passed 6-15-2020</t>
        </r>
      </text>
    </comment>
    <comment ref="H35" authorId="0" shapeId="0" xr:uid="{BBAE01BD-B8A8-4DFA-8B0F-7C1E8671CC70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Estimate based on WPLC cost-sharing formula and WPLC steering committee's recommendation to renew OverDrive Magazines for 2022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5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69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300,000 less $19,683 (1st Sierra payment)</t>
        </r>
      </text>
    </comment>
    <comment ref="F7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</t>
        </r>
      </text>
    </comment>
    <comment ref="F8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$300,000 less $19,683 (1st Sierra payment) less 2nd &amp; 3rd payments of $85,292 + Add'l Res of $4,975</t>
        </r>
      </text>
    </comment>
    <comment ref="C8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5,382.44 CO for Overdrive $ + </t>
        </r>
      </text>
    </comment>
    <comment ref="C8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 $12,000 Server Replacement Program $ to Reserves + 
</t>
        </r>
      </text>
    </comment>
    <comment ref="F9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9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$200,000 plus $12,000 from 2013 budget for unspent Server Replacement Program + 12,000 from 2014 Budget</t>
        </r>
      </text>
    </comment>
    <comment ref="F10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224,000 + 35,990 for Boopsie expense</t>
        </r>
      </text>
    </comment>
    <comment ref="C110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Boobsie startup &amp; 1st yr subscription  -  likely credit on acct and will reallocate to new product</t>
        </r>
      </text>
    </comment>
    <comment ref="C130" authorId="0" shapeId="0" xr:uid="{FC5AFCED-E436-41DC-8181-9EFE01380A95}">
      <text>
        <r>
          <rPr>
            <b/>
            <sz val="9"/>
            <color indexed="81"/>
            <rFont val="Tahoma"/>
            <charset val="1"/>
          </rPr>
          <t>jbutton:</t>
        </r>
        <r>
          <rPr>
            <sz val="9"/>
            <color indexed="81"/>
            <rFont val="Tahoma"/>
            <charset val="1"/>
          </rPr>
          <t xml:space="preserve">
$13,500 Fairchild
$27,000 Durand
-  1,000 Est Fairchild 1/2 Year Maint (re start 7/1)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C7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LEPMPL prepaid 3 years' maintenance on 3 SIP2 licenses in Oct. 2017. They were double-charged for maintenance in 2019; credit applied. Maintenance on original 3 licenses paid through 2020</t>
        </r>
      </text>
    </comment>
    <comment ref="C90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roholt:</t>
        </r>
        <r>
          <rPr>
            <sz val="9"/>
            <color indexed="81"/>
            <rFont val="Tahoma"/>
            <family val="2"/>
          </rPr>
          <t xml:space="preserve">
3rd SIP2 license purchased 5-2019; 1st maintenance bill here 2021
For 2022: 4 SIP2 licenses (AMH added 10-2020, maintenance paid through 10-2021)</t>
        </r>
      </text>
    </comment>
    <comment ref="C91" authorId="0" shapeId="0" xr:uid="{6929A48A-B883-4ABB-8099-9ED12DD087D0}">
      <text>
        <r>
          <rPr>
            <b/>
            <sz val="9"/>
            <color indexed="81"/>
            <rFont val="Tahoma"/>
            <charset val="1"/>
          </rPr>
          <t>roholt:</t>
        </r>
        <r>
          <rPr>
            <sz val="9"/>
            <color indexed="81"/>
            <rFont val="Tahoma"/>
            <charset val="1"/>
          </rPr>
          <t xml:space="preserve">
2nd self-check added in 2020. Add maintenance for this in 2021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jbutton</author>
  </authors>
  <commentList>
    <comment ref="M3" authorId="0" shapeId="0" xr:uid="{6B19725B-AD8B-4106-8334-DFD99C3128D2}">
      <text>
        <r>
          <rPr>
            <b/>
            <sz val="9"/>
            <color indexed="81"/>
            <rFont val="Tahoma"/>
            <family val="2"/>
          </rPr>
          <t>jbutton:</t>
        </r>
        <r>
          <rPr>
            <sz val="9"/>
            <color indexed="81"/>
            <rFont val="Tahoma"/>
            <family val="2"/>
          </rPr>
          <t xml:space="preserve">
see below for calculation</t>
        </r>
      </text>
    </comment>
  </commentList>
</comments>
</file>

<file path=xl/sharedStrings.xml><?xml version="1.0" encoding="utf-8"?>
<sst xmlns="http://schemas.openxmlformats.org/spreadsheetml/2006/main" count="484" uniqueCount="396">
  <si>
    <t>MORE Shared Automation System</t>
  </si>
  <si>
    <t xml:space="preserve">Line  </t>
  </si>
  <si>
    <t>Revised</t>
  </si>
  <si>
    <t>#</t>
  </si>
  <si>
    <t>Line Item Description</t>
  </si>
  <si>
    <t>Revisions</t>
  </si>
  <si>
    <t xml:space="preserve">Notes  </t>
  </si>
  <si>
    <t>Annual Maintenance - Innovative</t>
  </si>
  <si>
    <t>Innovative/Other Products:</t>
  </si>
  <si>
    <t>Host Site Expenses:</t>
  </si>
  <si>
    <t>Meetings &amp; Training Expenses:</t>
  </si>
  <si>
    <t>Conferences</t>
  </si>
  <si>
    <t>Miscellaneous Expenses:</t>
  </si>
  <si>
    <t>Publicity - Promo Items &amp; Train Mtls</t>
  </si>
  <si>
    <t>Bibliographic Utility</t>
    <phoneticPr fontId="0" type="noConversion"/>
  </si>
  <si>
    <t>Operating Contingency</t>
  </si>
  <si>
    <t>Content/Materials Purchases:</t>
  </si>
  <si>
    <t>WPLC E-Content Buying Pool</t>
  </si>
  <si>
    <t>OverDrive Content</t>
  </si>
  <si>
    <t xml:space="preserve">   Total Content/Material Purchases</t>
  </si>
  <si>
    <t>Reserves/Carryover:</t>
  </si>
  <si>
    <t xml:space="preserve">To Reserves - Hardware </t>
  </si>
  <si>
    <t xml:space="preserve">To Reserves - Software </t>
  </si>
  <si>
    <t>To Reserves - System Contingency</t>
  </si>
  <si>
    <t>Operating Exp from Carryover/Reserves</t>
  </si>
  <si>
    <t>TOTAL COSTS  (to be billed)</t>
  </si>
  <si>
    <t>Total Funds/Billed to MORE Libs</t>
  </si>
  <si>
    <t>Est.  Uncommitted Carryover @ End of Year</t>
  </si>
  <si>
    <t>see "Carryover" tab for Estimate</t>
  </si>
  <si>
    <t>Uncommitted Funds Summary:</t>
  </si>
  <si>
    <t>Reserves</t>
  </si>
  <si>
    <t>Reserve Bal =</t>
  </si>
  <si>
    <t>MORE Equity @ 12/31/05</t>
  </si>
  <si>
    <t xml:space="preserve">   Less Reserves</t>
  </si>
  <si>
    <t xml:space="preserve">   Less 2006 Projects from Carryover</t>
  </si>
  <si>
    <t xml:space="preserve">   Plus Rice Lake Balance Startup</t>
  </si>
  <si>
    <t xml:space="preserve">   Plus Chetek Startup</t>
  </si>
  <si>
    <t xml:space="preserve">   Plus Augusta Startup</t>
  </si>
  <si>
    <t xml:space="preserve">   Plus Plum City Startup</t>
  </si>
  <si>
    <t xml:space="preserve">   Plus Cadott Startup</t>
  </si>
  <si>
    <t xml:space="preserve">   Less Innovative Startup Costs</t>
  </si>
  <si>
    <t xml:space="preserve">   Less Rice Lk Maint Jan-Jun '06</t>
  </si>
  <si>
    <t xml:space="preserve">   Adj to Close Books @ end of 2006</t>
  </si>
  <si>
    <t>MORE Equity (less Reserves) @ 12/31/06</t>
  </si>
  <si>
    <t xml:space="preserve">   Less 2007 Projects from Carryover/Reserves</t>
  </si>
  <si>
    <t xml:space="preserve">   Less Jan-Jul AnnMaint (new '06 Libs)</t>
  </si>
  <si>
    <t xml:space="preserve">   Plus Phillips Startup</t>
  </si>
  <si>
    <t xml:space="preserve">   Plus Stanley Startup</t>
  </si>
  <si>
    <t xml:space="preserve">   Less Marchive Startup Costs</t>
  </si>
  <si>
    <t xml:space="preserve">   Adj to Close Books @ end of 2007</t>
  </si>
  <si>
    <t>MORE Carryover (less Reserves) @ 12/31/07</t>
  </si>
  <si>
    <t xml:space="preserve">   Less 2008 Projects from Carryover</t>
  </si>
  <si>
    <t xml:space="preserve">   Less Jan-Jul AnnMaint (new '07 Libs)</t>
  </si>
  <si>
    <t xml:space="preserve">  _</t>
  </si>
  <si>
    <t xml:space="preserve">   Plus Barron Startup</t>
  </si>
  <si>
    <t xml:space="preserve">    |</t>
  </si>
  <si>
    <t xml:space="preserve">   Plus Bruce Startup</t>
  </si>
  <si>
    <t xml:space="preserve">   Plus Cameron Startup</t>
  </si>
  <si>
    <t xml:space="preserve">    |__</t>
  </si>
  <si>
    <t>some from LSTA</t>
  </si>
  <si>
    <t xml:space="preserve">   Plus Cumberland Startup</t>
  </si>
  <si>
    <t xml:space="preserve">   Plus Ladysmith Startup</t>
  </si>
  <si>
    <t xml:space="preserve">   Plus Turle Lake Startup</t>
  </si>
  <si>
    <t xml:space="preserve">  _|</t>
  </si>
  <si>
    <t xml:space="preserve">   Less BCLIC Deferred Startup Payments</t>
  </si>
  <si>
    <t xml:space="preserve">   Less Cleanup Contract &amp; Add'l Lists</t>
  </si>
  <si>
    <t xml:space="preserve">   Less BCLIC Database Cost</t>
  </si>
  <si>
    <t xml:space="preserve">   Adj to Close Books @ end of 2008</t>
  </si>
  <si>
    <t>Est MORE Carryover (less Reserves) @ 12/31/08</t>
  </si>
  <si>
    <t xml:space="preserve">   Less 2009 Projects from Carryover</t>
  </si>
  <si>
    <t xml:space="preserve">   Less Jan-Jul AnnMaint (new '08 Libs)</t>
  </si>
  <si>
    <t xml:space="preserve">   Less Balance of Cleanup Contract</t>
  </si>
  <si>
    <t xml:space="preserve">   Plus 2009 BCLIC Deferred Startup Payments</t>
  </si>
  <si>
    <t xml:space="preserve">   Less Ecommerce Modules from '08 Budget</t>
  </si>
  <si>
    <t xml:space="preserve">   Less SCAT Table from '08 Budget</t>
  </si>
  <si>
    <t xml:space="preserve">   Less Publicity funds from '08 Budget</t>
  </si>
  <si>
    <t xml:space="preserve">   Less Approved Add'l Training Travel Budget</t>
  </si>
  <si>
    <t xml:space="preserve">   Less 2009 Interest Income Shortfall</t>
  </si>
  <si>
    <t xml:space="preserve">   Adj to Close Books @ end of 2009</t>
    <phoneticPr fontId="0" type="noConversion"/>
  </si>
  <si>
    <t>Est MORE Carryover (less Reserves) @ 12/31/09</t>
  </si>
  <si>
    <t xml:space="preserve">   Less 2010 Projects from Carryover</t>
  </si>
  <si>
    <t xml:space="preserve">   Plus Sand Creek Startup</t>
    <phoneticPr fontId="0" type="noConversion"/>
  </si>
  <si>
    <t xml:space="preserve">   Less Sand Creek Startup Costs</t>
    <phoneticPr fontId="0" type="noConversion"/>
  </si>
  <si>
    <t xml:space="preserve">   Adj to Close Books @ end of 2010</t>
  </si>
  <si>
    <t>MORE Carryover (less Reserves) @ 12/31/10</t>
  </si>
  <si>
    <t xml:space="preserve">   Less 2011 Projects from Carryover</t>
  </si>
  <si>
    <t xml:space="preserve">   Plus Bloomer Startup Income (@ 1/1/2011)</t>
  </si>
  <si>
    <t xml:space="preserve">   Plus Amery Startup Income (@ 7/1/2011</t>
  </si>
  <si>
    <t xml:space="preserve">   Less Bloomer Startup Costs</t>
  </si>
  <si>
    <t xml:space="preserve">   Less Amery Startup Costs</t>
  </si>
  <si>
    <t xml:space="preserve">   Less Jan-Jul AnnMaint (new '10 Libs)</t>
    <phoneticPr fontId="0" type="noConversion"/>
  </si>
  <si>
    <t xml:space="preserve">   Adj to Close Books @ end of 2011</t>
  </si>
  <si>
    <t xml:space="preserve">   Less 2012 Projects from Carryover</t>
  </si>
  <si>
    <t xml:space="preserve">   Plus Amery Startup Income (Balance)</t>
  </si>
  <si>
    <t xml:space="preserve">   Less Jan-Jul AnnMaint (new '11 Libs)</t>
  </si>
  <si>
    <t xml:space="preserve">   Less Prepaid OverDrive (carryover)</t>
  </si>
  <si>
    <t xml:space="preserve">   Adj to Close Books @ end of 2012</t>
  </si>
  <si>
    <t xml:space="preserve">   Less 2013 Projects from Carryover</t>
  </si>
  <si>
    <t xml:space="preserve">   Less Jan-Jul AnnMaint (new '12 Libs)</t>
  </si>
  <si>
    <t xml:space="preserve">   Less Jan-Jul AnnMaint (new '13 Libs)</t>
  </si>
  <si>
    <t>&lt;------ Includes----------&gt;</t>
  </si>
  <si>
    <t>Contents</t>
  </si>
  <si>
    <t>Gen Maint.</t>
  </si>
  <si>
    <t>See list of libraries with additional costs below (re: special modules or self-checks)</t>
  </si>
  <si>
    <t>Line #</t>
  </si>
  <si>
    <t>Library w/start date (AnnMaint next yr)</t>
  </si>
  <si>
    <t>2014         Total         Cost to Library</t>
  </si>
  <si>
    <t>Altoona   1/1/2000</t>
  </si>
  <si>
    <t>Baldwin   1/1/2000</t>
  </si>
  <si>
    <t>Balsam Lake   1/1/2000</t>
  </si>
  <si>
    <t>CVTC   1/1/2000 (withdrawal 1/1/2006)</t>
  </si>
  <si>
    <t>Deer Park   1/1/2000</t>
  </si>
  <si>
    <t>Dresser   1/1/2000</t>
  </si>
  <si>
    <t>Ellsworth   1/1/2000</t>
  </si>
  <si>
    <t>Glenwood City   1/1/2000</t>
  </si>
  <si>
    <t>Hudson   1/1/2000</t>
  </si>
  <si>
    <t>LEPMPL   1/1/2000</t>
  </si>
  <si>
    <t>Luck   1/1/2000</t>
  </si>
  <si>
    <t>Milltown   1/1/2000</t>
  </si>
  <si>
    <t>New Richmond   1/1/2000</t>
  </si>
  <si>
    <t>Osceola  1/1/2000</t>
  </si>
  <si>
    <t>Park Falls   1/1/2000</t>
  </si>
  <si>
    <t>Polk County   1/1/2000</t>
  </si>
  <si>
    <t>Prescott   1/1/2000</t>
  </si>
  <si>
    <t>River Falls   1/1/2000</t>
  </si>
  <si>
    <t>Somerset   1/1/2000</t>
  </si>
  <si>
    <t>Woodville   1/1/2000</t>
  </si>
  <si>
    <t>Boyceville  *   1/1/2000</t>
  </si>
  <si>
    <t>Colfax  *   1/1/2002</t>
  </si>
  <si>
    <t>Clear Lake  *   7/1/2003</t>
  </si>
  <si>
    <t>Centuria  *   7/1/2003</t>
  </si>
  <si>
    <t>Frederic  *   7/1/2003</t>
  </si>
  <si>
    <t>Menomonie  *   7/1/2003</t>
  </si>
  <si>
    <t>Pepin  *   7/1/2003</t>
  </si>
  <si>
    <t>St Croix Falls  *   7/1/2003</t>
  </si>
  <si>
    <t>Chippewa Falls  *   1/1/2004</t>
  </si>
  <si>
    <t>Roberts  *   7/1/2004</t>
  </si>
  <si>
    <t>Fall Creek  *   7/1/2004</t>
  </si>
  <si>
    <t>Spring Valley  *   7/1/2004</t>
  </si>
  <si>
    <t>Elmwood  *  1/1/2005</t>
  </si>
  <si>
    <t>Hammond  * 1/1/2005</t>
  </si>
  <si>
    <t>Rice Lake  *  7/1/2005</t>
  </si>
  <si>
    <t>Chetek  * 1/1/2006</t>
  </si>
  <si>
    <t>Augusta  *  7/1/2006</t>
  </si>
  <si>
    <t>Cadott  *  7/1/2006</t>
  </si>
  <si>
    <t>Plum City *  7/1/2006</t>
  </si>
  <si>
    <t>Phillips  *  7/1/2007</t>
  </si>
  <si>
    <t>Stanley  *  7/1/2007</t>
  </si>
  <si>
    <t>Barron  *  7/1/2008</t>
  </si>
  <si>
    <t>Bruce  *  7/1/2008</t>
  </si>
  <si>
    <t>Cameron  *  7/1/2008</t>
  </si>
  <si>
    <t>Cumberland  *  7/1/2008</t>
  </si>
  <si>
    <t>Ladysmith  *  7/1/2008</t>
  </si>
  <si>
    <t>Turtle Lake  * 7/1/2008</t>
  </si>
  <si>
    <t>Sand Creek  * 7/1/2010</t>
    <phoneticPr fontId="0" type="noConversion"/>
  </si>
  <si>
    <t>Bloomer   * 1/1/2011</t>
  </si>
  <si>
    <t>Amery   * 7/1/2011</t>
  </si>
  <si>
    <t>Ogema   * 1/1/2012</t>
  </si>
  <si>
    <t>IFLS Contributions to Libs</t>
  </si>
  <si>
    <t>Total</t>
  </si>
  <si>
    <t>slight differences = rounding</t>
  </si>
  <si>
    <t xml:space="preserve">From New     Library Income - </t>
  </si>
  <si>
    <t>* Libraries added after the 1st 20</t>
  </si>
  <si>
    <t>Altoona</t>
  </si>
  <si>
    <t>Amery</t>
  </si>
  <si>
    <t>Baldwin</t>
  </si>
  <si>
    <t>Barron</t>
    <phoneticPr fontId="0" type="noConversion"/>
  </si>
  <si>
    <t>Chippewa</t>
  </si>
  <si>
    <t>Eau Claire</t>
  </si>
  <si>
    <t>Ellsworth</t>
    <phoneticPr fontId="0" type="noConversion"/>
  </si>
  <si>
    <t>Frederic</t>
    <phoneticPr fontId="0" type="noConversion"/>
  </si>
  <si>
    <t>Glenwood City</t>
  </si>
  <si>
    <t>Hudson</t>
  </si>
  <si>
    <t>Menomonie</t>
  </si>
  <si>
    <t>New Richmond</t>
  </si>
  <si>
    <t>Pepin</t>
  </si>
  <si>
    <t>Prescott</t>
    <phoneticPr fontId="0" type="noConversion"/>
  </si>
  <si>
    <t>Rice Lake</t>
    <phoneticPr fontId="0" type="noConversion"/>
  </si>
  <si>
    <t>River Falls</t>
  </si>
  <si>
    <t>Stanley</t>
    <phoneticPr fontId="0" type="noConversion"/>
  </si>
  <si>
    <t>St Croix Falls</t>
  </si>
  <si>
    <t>Woodville</t>
  </si>
  <si>
    <t>Total Additional Billable</t>
  </si>
  <si>
    <t>Total IFLS Subsidy:</t>
  </si>
  <si>
    <t>Add'l Subsidy per Lib:</t>
  </si>
  <si>
    <t xml:space="preserve"> - Subsidy</t>
  </si>
  <si>
    <t>Bill to Libs</t>
  </si>
  <si>
    <t>Content $</t>
  </si>
  <si>
    <t>Circ &amp; Items as a % of Total</t>
  </si>
  <si>
    <t>LIBRARY</t>
  </si>
  <si>
    <t>items per total</t>
  </si>
  <si>
    <t>circ per total</t>
  </si>
  <si>
    <t>Add'l Subsidy</t>
  </si>
  <si>
    <t>Cost to Library</t>
  </si>
  <si>
    <t>Content $ included</t>
  </si>
  <si>
    <t>Total Cost        Change</t>
  </si>
  <si>
    <t>%              Change</t>
  </si>
  <si>
    <t xml:space="preserve">Augusta </t>
  </si>
  <si>
    <t>Balsam Lake</t>
  </si>
  <si>
    <t>Barron</t>
  </si>
  <si>
    <t>Bloomer</t>
  </si>
  <si>
    <t>Boyceville</t>
  </si>
  <si>
    <t>Bruce</t>
  </si>
  <si>
    <t xml:space="preserve">Cadott </t>
  </si>
  <si>
    <t>Cameron</t>
  </si>
  <si>
    <t>Centuria</t>
  </si>
  <si>
    <t xml:space="preserve">Chetek </t>
  </si>
  <si>
    <t>Chippewa Falls</t>
  </si>
  <si>
    <t>Clear Lake</t>
  </si>
  <si>
    <t>Colfax</t>
  </si>
  <si>
    <t>Cumberland</t>
  </si>
  <si>
    <t>Deer Park</t>
  </si>
  <si>
    <t>Dresser</t>
  </si>
  <si>
    <t>Ellsworth</t>
  </si>
  <si>
    <t>Elmwood</t>
  </si>
  <si>
    <t>Fall Creek</t>
  </si>
  <si>
    <t>Frederic</t>
  </si>
  <si>
    <t xml:space="preserve">Hammond </t>
  </si>
  <si>
    <t>Ladysmith</t>
  </si>
  <si>
    <t>Luck</t>
  </si>
  <si>
    <t>Milltown</t>
  </si>
  <si>
    <t>Ogema</t>
  </si>
  <si>
    <t>Osceola</t>
  </si>
  <si>
    <t>Park Falls</t>
  </si>
  <si>
    <t>Phillips</t>
  </si>
  <si>
    <t xml:space="preserve">Plum City </t>
  </si>
  <si>
    <t>Prescott</t>
  </si>
  <si>
    <t xml:space="preserve">Rice Lake </t>
  </si>
  <si>
    <t>Roberts</t>
  </si>
  <si>
    <t>Sand Creek</t>
    <phoneticPr fontId="9" type="noConversion"/>
  </si>
  <si>
    <t>Somerset</t>
  </si>
  <si>
    <t>Spring Valley</t>
  </si>
  <si>
    <t>Stanley</t>
  </si>
  <si>
    <t>Turtle Lake</t>
  </si>
  <si>
    <t>TOTAL</t>
  </si>
  <si>
    <t>MORE Consortium</t>
  </si>
  <si>
    <t>Reserve/Replacement Funds</t>
  </si>
  <si>
    <t>Desired Total</t>
  </si>
  <si>
    <t>1999-2000</t>
  </si>
  <si>
    <t>Spent in 2003</t>
  </si>
  <si>
    <t>Replaced w/2003 $</t>
  </si>
  <si>
    <t>2005/10</t>
  </si>
  <si>
    <t>2013/14</t>
  </si>
  <si>
    <t>Planned needs for Replacement Funds:</t>
  </si>
  <si>
    <t>To Reserves - Hardware (3 yr cycle)</t>
  </si>
  <si>
    <t xml:space="preserve">     Replacement</t>
  </si>
  <si>
    <t xml:space="preserve">     Upgrades</t>
  </si>
  <si>
    <t>To Reserves - Software (10 yr cycle)</t>
  </si>
  <si>
    <t xml:space="preserve">     Replacement/Upgrades</t>
  </si>
  <si>
    <t>To Reserves - Enhancements (4 yr cycle)</t>
  </si>
  <si>
    <t xml:space="preserve">     3rd Party</t>
  </si>
  <si>
    <t xml:space="preserve">     Innovative</t>
  </si>
  <si>
    <t>To Reserves Contingency</t>
  </si>
  <si>
    <t>Totals to Reserves</t>
  </si>
  <si>
    <t>Cummulative Total</t>
  </si>
  <si>
    <t>Freading eBook Service</t>
  </si>
  <si>
    <t>**</t>
  </si>
  <si>
    <t xml:space="preserve">   Adj to Close Books @ end of 2013</t>
  </si>
  <si>
    <t xml:space="preserve">   Less 2015 Projects from Carryover</t>
  </si>
  <si>
    <t xml:space="preserve">   Plus Startup Income</t>
  </si>
  <si>
    <t xml:space="preserve">   Less 2014 Projects from Carryover (prelim bud)</t>
  </si>
  <si>
    <t xml:space="preserve">   Less 2014 Add'l amounts from Carryover (rev'd)</t>
  </si>
  <si>
    <t>Carryover @ 12/31/11</t>
  </si>
  <si>
    <t>Carryover @ 12/31/12</t>
  </si>
  <si>
    <t>Carryover @ 12/31/13</t>
  </si>
  <si>
    <t xml:space="preserve">   Less 2014 Add'l amount from CO to Reserves</t>
  </si>
  <si>
    <t>MARCIVE</t>
  </si>
  <si>
    <t>Total Reserves @ End of Year (line )</t>
  </si>
  <si>
    <t xml:space="preserve">Management Team Training </t>
  </si>
  <si>
    <t>AnnMaint - Software Insurance</t>
  </si>
  <si>
    <t>Library Elf Subscription</t>
  </si>
  <si>
    <t>NoveList Select Subscription</t>
  </si>
  <si>
    <t>Decision Center</t>
  </si>
  <si>
    <t>Possible New Products</t>
  </si>
  <si>
    <t>Possible New Products (from Carryover)</t>
  </si>
  <si>
    <t>IFLS Management Charges</t>
  </si>
  <si>
    <t>Seminars, webinars, etc. for IFLS staff</t>
  </si>
  <si>
    <t>Professional printing</t>
  </si>
  <si>
    <r>
      <rPr>
        <b/>
        <sz val="10"/>
        <rFont val="Arial"/>
        <family val="2"/>
      </rPr>
      <t>Formula</t>
    </r>
    <r>
      <rPr>
        <sz val="10"/>
        <rFont val="Arial"/>
        <family val="2"/>
      </rPr>
      <t xml:space="preserve"> Circ&amp;Items           % of Total</t>
    </r>
  </si>
  <si>
    <t>Total Cost per Library before IFLS Subsidy</t>
  </si>
  <si>
    <t>Preserve system software code</t>
  </si>
  <si>
    <t xml:space="preserve">   Adj to Close Books @ end of 2014</t>
  </si>
  <si>
    <t>CVTC Data Center Charges</t>
  </si>
  <si>
    <t>Online catalog enhanced content</t>
  </si>
  <si>
    <t>Collection Development Project</t>
  </si>
  <si>
    <t>Cover images for online catalog</t>
  </si>
  <si>
    <t xml:space="preserve">   Adj to Close Books @ end of 2015</t>
  </si>
  <si>
    <t>IFLS Subsidy per Library</t>
  </si>
  <si>
    <t>Email and text reminder subscription</t>
  </si>
  <si>
    <t>Content Café</t>
  </si>
  <si>
    <t xml:space="preserve">   Less 2016 Projects from Carryover</t>
  </si>
  <si>
    <t>Carryover @ 12/31/14</t>
  </si>
  <si>
    <t>Carryover @ 12/31/15</t>
  </si>
  <si>
    <t>Carryover @ 12/31/16</t>
  </si>
  <si>
    <t xml:space="preserve">   Adj to Close Books @ end of 2016</t>
  </si>
  <si>
    <t xml:space="preserve">   Less 2017 Projects from Carryover</t>
  </si>
  <si>
    <t xml:space="preserve">   Adj to Close Books @ end of 2017</t>
  </si>
  <si>
    <t xml:space="preserve">   Less 2015 Add'l Software Only - from Carryover</t>
  </si>
  <si>
    <t xml:space="preserve">   Less 2018 Projects from Carryover</t>
  </si>
  <si>
    <t xml:space="preserve">   Adj to Close Books @ end of 2018</t>
  </si>
  <si>
    <t>Total @ the end of year</t>
  </si>
  <si>
    <t>OCLC, Web Dewey, and RDA Toolkit</t>
  </si>
  <si>
    <t>Statewide OverDrive collection buying pool; some funds returned for system Advantage account</t>
  </si>
  <si>
    <t xml:space="preserve">Eau Claire </t>
  </si>
  <si>
    <t>Carryover @ 12/31/17</t>
  </si>
  <si>
    <t xml:space="preserve">   Less 2018 Add'l from Carryover (revised budget)</t>
  </si>
  <si>
    <t xml:space="preserve">   Reserves - Boopsie deferred to 2018</t>
  </si>
  <si>
    <t>Statistical and collection development tool</t>
  </si>
  <si>
    <t>Ongoing authority processing service</t>
  </si>
  <si>
    <t>Eau Claire, Chippewa, Menomonie, Ladysmith, Balsam Lake, others</t>
  </si>
  <si>
    <t>Electronic magazines</t>
  </si>
  <si>
    <t>Hosting Sierra and Encore servers</t>
  </si>
  <si>
    <t xml:space="preserve">   Less 2020 Add'l from Carryover (revised budget)</t>
  </si>
  <si>
    <t xml:space="preserve">   Adj to Close Books @ end of 2020</t>
  </si>
  <si>
    <t xml:space="preserve">  Collection Agency</t>
  </si>
  <si>
    <t xml:space="preserve">   Libraries with Additional Maintenance re: Special Modules or Self-check @----&gt;</t>
  </si>
  <si>
    <t>Discovery/Online Catalog</t>
  </si>
  <si>
    <t>BiblioApps library app from Bibliocommons</t>
  </si>
  <si>
    <t>Based on IFLS's state aid; includes some IFLS personnel, committee meeting, training travel/meeting, and telephone expenses; increase for 2020 to cover offsite Directors Council meeting costs</t>
  </si>
  <si>
    <t>Database quality control</t>
  </si>
  <si>
    <t xml:space="preserve"> 2021 Total</t>
  </si>
  <si>
    <t>MORE Funds</t>
  </si>
  <si>
    <t>Including</t>
  </si>
  <si>
    <t>Partner Credits</t>
  </si>
  <si>
    <t>Ctlg Partner Credits</t>
  </si>
  <si>
    <t>Cataloging Partners</t>
  </si>
  <si>
    <t>IFLS Subsidy  for Cataloging Partners</t>
  </si>
  <si>
    <t xml:space="preserve">   Off Top</t>
  </si>
  <si>
    <t>2022 MORE Costs to Library Participants</t>
  </si>
  <si>
    <t xml:space="preserve">2022 Total MORE Budget = </t>
  </si>
  <si>
    <t xml:space="preserve">Less 2022 IFLS Subsidy (off top) = </t>
  </si>
  <si>
    <t xml:space="preserve">2022 MORE Budget billable to Libs = </t>
  </si>
  <si>
    <t>2022         Total         Cost to Library</t>
  </si>
  <si>
    <t>2022  Contents/ Materials</t>
  </si>
  <si>
    <t>2022     General Maintenance</t>
  </si>
  <si>
    <t xml:space="preserve">Add'l 2022 IFLS Subsidy for Cataloging Partners =  </t>
  </si>
  <si>
    <t xml:space="preserve"> 2022 Total</t>
  </si>
  <si>
    <t>2015-   2022</t>
  </si>
  <si>
    <t>7/19/2020 Approved</t>
  </si>
  <si>
    <t>2020          items</t>
  </si>
  <si>
    <t>2020            circ</t>
  </si>
  <si>
    <t xml:space="preserve">2021 Costs </t>
  </si>
  <si>
    <t>2021 Budget</t>
  </si>
  <si>
    <t>2021: Added $112,000 for centralized bibliographic services</t>
  </si>
  <si>
    <t>2021 +/-</t>
  </si>
  <si>
    <t>Reserve @ '22 = $24,000</t>
  </si>
  <si>
    <t>Reserve @ '22 = $175,000</t>
  </si>
  <si>
    <t>Reserve @ '22 = $25,000</t>
  </si>
  <si>
    <t xml:space="preserve">   Less 2021 Add'l from Carryover (revised budget)</t>
  </si>
  <si>
    <t xml:space="preserve">   Adj to Close Books @ end of 2021</t>
  </si>
  <si>
    <t xml:space="preserve">   Adj to Close Books @ end of 2019</t>
  </si>
  <si>
    <t>(5% inc)</t>
  </si>
  <si>
    <t xml:space="preserve">   Less 2019 Add'l from Carryover (revised budget)</t>
  </si>
  <si>
    <t xml:space="preserve">   Less $ Committed to 2022 Projects from Carryover</t>
  </si>
  <si>
    <t xml:space="preserve">   Less $ Committed to 2021 Projects from Carryover</t>
  </si>
  <si>
    <t xml:space="preserve">   Less $ Committed to 2020 Projects from Carryover</t>
  </si>
  <si>
    <t>Actual Carryover @ 12/31/20</t>
  </si>
  <si>
    <t>Actual Carryover @ 12/31/19</t>
  </si>
  <si>
    <t>Actual Carryover @ 12/31/18</t>
  </si>
  <si>
    <t>New</t>
  </si>
  <si>
    <t>Fairchild</t>
  </si>
  <si>
    <t>2018 Total items+circ</t>
  </si>
  <si>
    <t>2019 Total items+circ</t>
  </si>
  <si>
    <t>% Chg</t>
  </si>
  <si>
    <t>Est Carryover @ 12/31/2021 &amp; 2022 Prelim</t>
  </si>
  <si>
    <t xml:space="preserve">  Plus Fairchild &amp; Durand Startup (less 1/2 yr Maint)</t>
  </si>
  <si>
    <t xml:space="preserve">Add'l 2022 IFLS Subsidy = Am't per Lib (Half Min) </t>
  </si>
  <si>
    <t>Fairchild  * 7/1/2021</t>
  </si>
  <si>
    <t>2020 Total items+circ</t>
  </si>
  <si>
    <t>3 yr Avg items+circ</t>
  </si>
  <si>
    <t>3 yr Avg % of Total</t>
  </si>
  <si>
    <t xml:space="preserve"> (not to exceed 1/2 of Total costs)</t>
  </si>
  <si>
    <t>MORE 2022 Cost Allocations using 3 year Average for Items &amp; Circ</t>
  </si>
  <si>
    <t xml:space="preserve">  8.3% increase</t>
  </si>
  <si>
    <t xml:space="preserve">   no change</t>
  </si>
  <si>
    <t xml:space="preserve">  Self-check @ $357/</t>
  </si>
  <si>
    <t>adjust re M59</t>
  </si>
  <si>
    <t>iTIVA from illion (formerly Talking Tech)</t>
  </si>
  <si>
    <t>Telephone notification and renewal service, annual fee</t>
  </si>
  <si>
    <r>
      <t xml:space="preserve">Online catalog software; </t>
    </r>
    <r>
      <rPr>
        <u val="singleAccounting"/>
        <sz val="11"/>
        <rFont val="Arial"/>
        <family val="2"/>
      </rPr>
      <t>BiblioCore starting 2020</t>
    </r>
    <r>
      <rPr>
        <sz val="11"/>
        <rFont val="Arial"/>
        <family val="2"/>
      </rPr>
      <t>. 2022 cost reflects year 3 pricing without the fine payment product, which was not implemented by MORE</t>
    </r>
  </si>
  <si>
    <t>IFLS OverDrive Advantage program; recommended by MORE RSCD Committee</t>
  </si>
  <si>
    <t>Flipster is current product; recommended by MORE RSCD Committee</t>
  </si>
  <si>
    <t>Recommended by MORE RSCD Committee</t>
  </si>
  <si>
    <t>To purchase high-demand materials in any format; recommended by MORE RSCD Committee</t>
  </si>
  <si>
    <t>Approved by MORE Directors Council, May 2021</t>
  </si>
  <si>
    <t>2021 Revised - BiblioApps implementation fee, approved by MORE Directors Council, May 2021</t>
  </si>
  <si>
    <t>2021 Revised - Server Upgrade, approved by MORE Directors Council, May 2021</t>
  </si>
  <si>
    <t>Automation software support; 4% increase based on 3-year Sierra maintainenance agreement recommended by Executive Committee</t>
  </si>
  <si>
    <t>Primarily annual Innovative Users Group Conference; recommended by Executive Committee based on lower conference attendance costs for 2022 IUG Conference</t>
  </si>
  <si>
    <t>Recommended by Executive Committee</t>
  </si>
  <si>
    <t>2022 Recommended Budget</t>
  </si>
  <si>
    <t>Recommended</t>
  </si>
  <si>
    <t>Based on 2022 Recommended Budget</t>
  </si>
  <si>
    <t>Recommended Budget</t>
  </si>
  <si>
    <t xml:space="preserve">  2022 Recommended Budget:  =</t>
  </si>
  <si>
    <t xml:space="preserve">2022 Recommended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</si>
</sst>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"/>
    <numFmt numFmtId="166" formatCode="0.0"/>
    <numFmt numFmtId="167" formatCode="_(* #,##0_);_(* \(#,##0\);_(* &quot;-&quot;??_);_(@_)"/>
    <numFmt numFmtId="168" formatCode="_(* #,##0_);_(* \(#,##0\);_(* &quot;-&quot;?_);_(@_)"/>
    <numFmt numFmtId="169" formatCode="0.0%"/>
    <numFmt numFmtId="170" formatCode="&quot;$&quot;#,##0.00"/>
  </numFmts>
  <fonts count="4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u val="singleAccounting"/>
      <sz val="11"/>
      <name val="Arial"/>
      <family val="2"/>
    </font>
    <font>
      <sz val="10"/>
      <color indexed="8"/>
      <name val="SansSerif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08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Protection="0">
      <alignment wrapText="1"/>
    </xf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8" applyNumberFormat="0" applyFill="0" applyAlignment="0" applyProtection="0"/>
    <xf numFmtId="0" fontId="21" fillId="0" borderId="39" applyNumberFormat="0" applyFill="0" applyAlignment="0" applyProtection="0"/>
    <xf numFmtId="0" fontId="22" fillId="0" borderId="40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41" applyNumberFormat="0" applyAlignment="0" applyProtection="0"/>
    <xf numFmtId="0" fontId="27" fillId="15" borderId="42" applyNumberFormat="0" applyAlignment="0" applyProtection="0"/>
    <xf numFmtId="0" fontId="28" fillId="15" borderId="41" applyNumberFormat="0" applyAlignment="0" applyProtection="0"/>
    <xf numFmtId="0" fontId="29" fillId="0" borderId="43" applyNumberFormat="0" applyFill="0" applyAlignment="0" applyProtection="0"/>
    <xf numFmtId="0" fontId="30" fillId="16" borderId="4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6" applyNumberFormat="0" applyFill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34" fillId="41" borderId="0" applyNumberFormat="0" applyBorder="0" applyAlignment="0" applyProtection="0"/>
    <xf numFmtId="0" fontId="4" fillId="0" borderId="0"/>
    <xf numFmtId="9" fontId="35" fillId="0" borderId="0" applyFont="0" applyFill="0" applyBorder="0" applyAlignment="0" applyProtection="0"/>
    <xf numFmtId="44" fontId="35" fillId="0" borderId="0" applyFont="0" applyFill="0" applyBorder="0" applyProtection="0">
      <alignment wrapText="1"/>
    </xf>
    <xf numFmtId="43" fontId="3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  <xf numFmtId="0" fontId="1" fillId="17" borderId="45" applyNumberFormat="0" applyFont="0" applyAlignment="0" applyProtection="0"/>
  </cellStyleXfs>
  <cellXfs count="366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0" fillId="0" borderId="7" xfId="0" applyBorder="1"/>
    <xf numFmtId="14" fontId="3" fillId="0" borderId="0" xfId="0" applyNumberFormat="1" applyFont="1" applyAlignment="1">
      <alignment horizontal="left"/>
    </xf>
    <xf numFmtId="44" fontId="2" fillId="0" borderId="7" xfId="2" applyBorder="1">
      <alignment wrapText="1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44" fontId="2" fillId="3" borderId="7" xfId="2" applyFill="1" applyBorder="1">
      <alignment wrapText="1"/>
    </xf>
    <xf numFmtId="44" fontId="0" fillId="3" borderId="7" xfId="2" applyFont="1" applyFill="1" applyBorder="1">
      <alignment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44" fontId="2" fillId="0" borderId="10" xfId="2" applyBorder="1">
      <alignment wrapText="1"/>
    </xf>
    <xf numFmtId="44" fontId="2" fillId="3" borderId="10" xfId="2" applyFill="1" applyBorder="1">
      <alignment wrapText="1"/>
    </xf>
    <xf numFmtId="44" fontId="2" fillId="0" borderId="11" xfId="2" applyBorder="1">
      <alignment wrapText="1"/>
    </xf>
    <xf numFmtId="44" fontId="2" fillId="3" borderId="11" xfId="2" applyFill="1" applyBorder="1">
      <alignment wrapText="1"/>
    </xf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7" fillId="0" borderId="12" xfId="0" applyFont="1" applyBorder="1"/>
    <xf numFmtId="0" fontId="3" fillId="0" borderId="12" xfId="0" applyFont="1" applyBorder="1"/>
    <xf numFmtId="0" fontId="0" fillId="0" borderId="14" xfId="0" applyBorder="1"/>
    <xf numFmtId="0" fontId="0" fillId="0" borderId="0" xfId="0" applyBorder="1"/>
    <xf numFmtId="0" fontId="10" fillId="0" borderId="0" xfId="3" applyFont="1"/>
    <xf numFmtId="0" fontId="9" fillId="0" borderId="0" xfId="3"/>
    <xf numFmtId="14" fontId="9" fillId="0" borderId="0" xfId="3" applyNumberFormat="1" applyAlignment="1">
      <alignment horizontal="left"/>
    </xf>
    <xf numFmtId="0" fontId="4" fillId="0" borderId="0" xfId="3" applyFont="1"/>
    <xf numFmtId="167" fontId="9" fillId="0" borderId="0" xfId="3" applyNumberFormat="1" applyBorder="1" applyAlignment="1">
      <alignment horizontal="right"/>
    </xf>
    <xf numFmtId="0" fontId="9" fillId="0" borderId="0" xfId="3" applyAlignment="1">
      <alignment horizontal="right"/>
    </xf>
    <xf numFmtId="0" fontId="10" fillId="0" borderId="0" xfId="3" applyFont="1" applyBorder="1"/>
    <xf numFmtId="0" fontId="10" fillId="0" borderId="15" xfId="3" applyFont="1" applyBorder="1" applyAlignment="1">
      <alignment horizontal="center" wrapText="1"/>
    </xf>
    <xf numFmtId="0" fontId="7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/>
    </xf>
    <xf numFmtId="0" fontId="10" fillId="0" borderId="16" xfId="3" applyFont="1" applyBorder="1" applyAlignment="1">
      <alignment horizontal="center" wrapText="1"/>
    </xf>
    <xf numFmtId="0" fontId="10" fillId="0" borderId="15" xfId="3" applyFont="1" applyBorder="1" applyAlignment="1">
      <alignment horizontal="center"/>
    </xf>
    <xf numFmtId="0" fontId="6" fillId="0" borderId="15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0" xfId="3" applyFont="1"/>
    <xf numFmtId="0" fontId="9" fillId="0" borderId="0" xfId="3" applyBorder="1" applyAlignment="1">
      <alignment horizontal="right"/>
    </xf>
    <xf numFmtId="0" fontId="9" fillId="0" borderId="0" xfId="3" applyBorder="1"/>
    <xf numFmtId="167" fontId="9" fillId="0" borderId="0" xfId="3" applyNumberFormat="1"/>
    <xf numFmtId="167" fontId="9" fillId="0" borderId="7" xfId="3" applyNumberFormat="1" applyBorder="1"/>
    <xf numFmtId="167" fontId="9" fillId="0" borderId="0" xfId="3" applyNumberFormat="1" applyBorder="1"/>
    <xf numFmtId="168" fontId="9" fillId="0" borderId="0" xfId="3" applyNumberFormat="1"/>
    <xf numFmtId="168" fontId="9" fillId="0" borderId="0" xfId="3" applyNumberFormat="1" applyBorder="1"/>
    <xf numFmtId="0" fontId="10" fillId="0" borderId="0" xfId="0" applyFont="1"/>
    <xf numFmtId="164" fontId="4" fillId="0" borderId="15" xfId="0" applyNumberFormat="1" applyFont="1" applyBorder="1"/>
    <xf numFmtId="0" fontId="8" fillId="0" borderId="0" xfId="3" applyFont="1" applyAlignment="1">
      <alignment horizontal="left" wrapText="1"/>
    </xf>
    <xf numFmtId="0" fontId="9" fillId="0" borderId="0" xfId="3" applyFill="1" applyAlignment="1">
      <alignment horizontal="left"/>
    </xf>
    <xf numFmtId="167" fontId="9" fillId="0" borderId="0" xfId="3" applyNumberFormat="1" applyFill="1"/>
    <xf numFmtId="0" fontId="0" fillId="0" borderId="0" xfId="0" applyProtection="1"/>
    <xf numFmtId="0" fontId="9" fillId="0" borderId="7" xfId="3" applyBorder="1"/>
    <xf numFmtId="0" fontId="9" fillId="0" borderId="11" xfId="3" applyBorder="1"/>
    <xf numFmtId="0" fontId="9" fillId="0" borderId="10" xfId="3" applyBorder="1"/>
    <xf numFmtId="0" fontId="10" fillId="0" borderId="16" xfId="3" applyFont="1" applyBorder="1"/>
    <xf numFmtId="0" fontId="10" fillId="0" borderId="18" xfId="3" applyFont="1" applyBorder="1"/>
    <xf numFmtId="0" fontId="10" fillId="0" borderId="19" xfId="3" applyFont="1" applyBorder="1"/>
    <xf numFmtId="0" fontId="11" fillId="0" borderId="0" xfId="0" applyFont="1"/>
    <xf numFmtId="0" fontId="4" fillId="2" borderId="16" xfId="3" applyFont="1" applyFill="1" applyBorder="1" applyAlignment="1">
      <alignment textRotation="90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2" fillId="0" borderId="0" xfId="2" applyFont="1" applyBorder="1">
      <alignment wrapText="1"/>
    </xf>
    <xf numFmtId="0" fontId="12" fillId="0" borderId="0" xfId="0" applyFont="1"/>
    <xf numFmtId="167" fontId="9" fillId="0" borderId="20" xfId="3" applyNumberFormat="1" applyBorder="1"/>
    <xf numFmtId="0" fontId="9" fillId="0" borderId="20" xfId="3" applyBorder="1"/>
    <xf numFmtId="0" fontId="9" fillId="0" borderId="21" xfId="3" applyBorder="1"/>
    <xf numFmtId="167" fontId="9" fillId="0" borderId="7" xfId="3" applyNumberFormat="1" applyFill="1" applyBorder="1"/>
    <xf numFmtId="0" fontId="9" fillId="0" borderId="7" xfId="3" applyFill="1" applyBorder="1"/>
    <xf numFmtId="0" fontId="9" fillId="0" borderId="10" xfId="3" applyFill="1" applyBorder="1"/>
    <xf numFmtId="167" fontId="10" fillId="0" borderId="18" xfId="1" applyNumberFormat="1" applyFont="1" applyFill="1" applyBorder="1"/>
    <xf numFmtId="44" fontId="2" fillId="4" borderId="7" xfId="2" applyFill="1" applyBorder="1">
      <alignment wrapText="1"/>
    </xf>
    <xf numFmtId="0" fontId="9" fillId="2" borderId="24" xfId="3" applyFill="1" applyBorder="1"/>
    <xf numFmtId="164" fontId="3" fillId="0" borderId="15" xfId="2" applyNumberFormat="1" applyFont="1" applyBorder="1">
      <alignment wrapText="1"/>
    </xf>
    <xf numFmtId="10" fontId="10" fillId="0" borderId="19" xfId="3" applyNumberFormat="1" applyFont="1" applyBorder="1" applyAlignment="1">
      <alignment horizontal="center"/>
    </xf>
    <xf numFmtId="166" fontId="12" fillId="0" borderId="0" xfId="5" applyNumberFormat="1" applyFont="1" applyAlignment="1">
      <alignment horizontal="right"/>
    </xf>
    <xf numFmtId="169" fontId="12" fillId="0" borderId="0" xfId="5" applyNumberFormat="1" applyFont="1" applyAlignment="1">
      <alignment horizontal="left"/>
    </xf>
    <xf numFmtId="0" fontId="3" fillId="0" borderId="16" xfId="0" applyFont="1" applyBorder="1"/>
    <xf numFmtId="44" fontId="2" fillId="3" borderId="18" xfId="2" applyFill="1" applyBorder="1">
      <alignment wrapText="1"/>
    </xf>
    <xf numFmtId="0" fontId="10" fillId="0" borderId="0" xfId="4" applyFont="1"/>
    <xf numFmtId="0" fontId="9" fillId="0" borderId="0" xfId="4"/>
    <xf numFmtId="164" fontId="10" fillId="0" borderId="0" xfId="2" applyNumberFormat="1" applyFont="1">
      <alignment wrapText="1"/>
    </xf>
    <xf numFmtId="0" fontId="10" fillId="0" borderId="0" xfId="4" applyFont="1" applyAlignment="1">
      <alignment horizontal="center"/>
    </xf>
    <xf numFmtId="0" fontId="10" fillId="0" borderId="17" xfId="4" applyFont="1" applyBorder="1"/>
    <xf numFmtId="0" fontId="10" fillId="0" borderId="17" xfId="4" applyFont="1" applyBorder="1" applyAlignment="1">
      <alignment horizontal="center" wrapText="1"/>
    </xf>
    <xf numFmtId="0" fontId="9" fillId="0" borderId="0" xfId="4" applyFill="1"/>
    <xf numFmtId="167" fontId="9" fillId="0" borderId="1" xfId="4" applyNumberFormat="1" applyFill="1" applyBorder="1"/>
    <xf numFmtId="1" fontId="9" fillId="0" borderId="0" xfId="4" applyNumberFormat="1" applyFill="1"/>
    <xf numFmtId="167" fontId="9" fillId="0" borderId="26" xfId="4" applyNumberFormat="1" applyFill="1" applyBorder="1"/>
    <xf numFmtId="167" fontId="9" fillId="0" borderId="0" xfId="4" applyNumberFormat="1" applyFill="1"/>
    <xf numFmtId="167" fontId="9" fillId="0" borderId="0" xfId="4" applyNumberFormat="1" applyFill="1" applyBorder="1"/>
    <xf numFmtId="0" fontId="10" fillId="0" borderId="24" xfId="4" applyFont="1" applyBorder="1"/>
    <xf numFmtId="167" fontId="10" fillId="0" borderId="17" xfId="1" applyNumberFormat="1" applyFont="1" applyBorder="1"/>
    <xf numFmtId="9" fontId="10" fillId="0" borderId="17" xfId="5" applyFont="1" applyBorder="1"/>
    <xf numFmtId="167" fontId="10" fillId="0" borderId="1" xfId="4" applyNumberFormat="1" applyFont="1" applyBorder="1"/>
    <xf numFmtId="167" fontId="10" fillId="0" borderId="2" xfId="4" applyNumberFormat="1" applyFont="1" applyBorder="1"/>
    <xf numFmtId="169" fontId="10" fillId="0" borderId="3" xfId="5" applyNumberFormat="1" applyFont="1" applyBorder="1"/>
    <xf numFmtId="167" fontId="10" fillId="0" borderId="17" xfId="4" applyNumberFormat="1" applyFont="1" applyBorder="1"/>
    <xf numFmtId="0" fontId="9" fillId="0" borderId="1" xfId="4" applyBorder="1"/>
    <xf numFmtId="0" fontId="9" fillId="0" borderId="2" xfId="4" applyBorder="1"/>
    <xf numFmtId="0" fontId="9" fillId="0" borderId="3" xfId="4" applyBorder="1"/>
    <xf numFmtId="0" fontId="9" fillId="0" borderId="26" xfId="4" applyBorder="1"/>
    <xf numFmtId="0" fontId="9" fillId="0" borderId="0" xfId="4" applyBorder="1"/>
    <xf numFmtId="0" fontId="9" fillId="0" borderId="27" xfId="4" applyBorder="1"/>
    <xf numFmtId="7" fontId="8" fillId="0" borderId="0" xfId="2" applyNumberFormat="1" applyFont="1">
      <alignment wrapText="1"/>
    </xf>
    <xf numFmtId="7" fontId="5" fillId="0" borderId="0" xfId="2" applyNumberFormat="1" applyFont="1">
      <alignment wrapText="1"/>
    </xf>
    <xf numFmtId="0" fontId="8" fillId="0" borderId="0" xfId="4" applyFont="1" applyAlignment="1">
      <alignment horizontal="center"/>
    </xf>
    <xf numFmtId="0" fontId="9" fillId="0" borderId="0" xfId="4" applyAlignment="1">
      <alignment horizontal="center"/>
    </xf>
    <xf numFmtId="0" fontId="8" fillId="0" borderId="4" xfId="4" applyFont="1" applyBorder="1"/>
    <xf numFmtId="0" fontId="9" fillId="0" borderId="5" xfId="4" applyBorder="1"/>
    <xf numFmtId="7" fontId="8" fillId="0" borderId="5" xfId="2" applyNumberFormat="1" applyFont="1" applyBorder="1">
      <alignment wrapText="1"/>
    </xf>
    <xf numFmtId="0" fontId="9" fillId="0" borderId="6" xfId="4" applyBorder="1"/>
    <xf numFmtId="167" fontId="10" fillId="0" borderId="4" xfId="4" applyNumberFormat="1" applyFont="1" applyBorder="1"/>
    <xf numFmtId="0" fontId="10" fillId="0" borderId="5" xfId="4" applyFont="1" applyBorder="1"/>
    <xf numFmtId="0" fontId="8" fillId="0" borderId="0" xfId="4" applyFont="1"/>
    <xf numFmtId="0" fontId="12" fillId="0" borderId="0" xfId="0" applyFont="1" applyAlignment="1">
      <alignment horizontal="left"/>
    </xf>
    <xf numFmtId="43" fontId="0" fillId="0" borderId="0" xfId="0" applyNumberFormat="1"/>
    <xf numFmtId="44" fontId="2" fillId="3" borderId="28" xfId="2" applyFill="1" applyBorder="1">
      <alignment wrapText="1"/>
    </xf>
    <xf numFmtId="43" fontId="3" fillId="0" borderId="15" xfId="0" applyNumberFormat="1" applyFont="1" applyBorder="1"/>
    <xf numFmtId="43" fontId="3" fillId="0" borderId="0" xfId="1" applyFont="1"/>
    <xf numFmtId="43" fontId="2" fillId="0" borderId="0" xfId="1"/>
    <xf numFmtId="43" fontId="2" fillId="0" borderId="0" xfId="1" applyFont="1"/>
    <xf numFmtId="44" fontId="0" fillId="0" borderId="0" xfId="0" applyNumberFormat="1"/>
    <xf numFmtId="44" fontId="2" fillId="0" borderId="12" xfId="2" applyFont="1" applyBorder="1">
      <alignment wrapText="1"/>
    </xf>
    <xf numFmtId="0" fontId="4" fillId="0" borderId="0" xfId="0" applyFont="1"/>
    <xf numFmtId="167" fontId="4" fillId="0" borderId="0" xfId="1" applyNumberFormat="1" applyFont="1"/>
    <xf numFmtId="0" fontId="0" fillId="0" borderId="17" xfId="0" applyBorder="1"/>
    <xf numFmtId="0" fontId="10" fillId="0" borderId="17" xfId="0" applyFont="1" applyBorder="1"/>
    <xf numFmtId="0" fontId="8" fillId="0" borderId="0" xfId="3" applyFont="1" applyFill="1" applyAlignment="1">
      <alignment horizontal="left"/>
    </xf>
    <xf numFmtId="44" fontId="2" fillId="0" borderId="7" xfId="2" applyFont="1" applyBorder="1" applyAlignment="1">
      <alignment horizontal="center"/>
    </xf>
    <xf numFmtId="167" fontId="9" fillId="2" borderId="0" xfId="4" applyNumberFormat="1" applyFill="1" applyBorder="1"/>
    <xf numFmtId="167" fontId="10" fillId="2" borderId="2" xfId="4" applyNumberFormat="1" applyFont="1" applyFill="1" applyBorder="1"/>
    <xf numFmtId="0" fontId="0" fillId="0" borderId="12" xfId="0" applyFill="1" applyBorder="1"/>
    <xf numFmtId="44" fontId="2" fillId="4" borderId="15" xfId="2" applyFont="1" applyFill="1" applyBorder="1" applyAlignment="1">
      <alignment horizontal="right"/>
    </xf>
    <xf numFmtId="0" fontId="9" fillId="0" borderId="0" xfId="4" applyFill="1" applyAlignment="1">
      <alignment horizontal="center"/>
    </xf>
    <xf numFmtId="167" fontId="10" fillId="0" borderId="19" xfId="1" applyNumberFormat="1" applyFont="1" applyBorder="1"/>
    <xf numFmtId="167" fontId="10" fillId="4" borderId="15" xfId="1" applyNumberFormat="1" applyFont="1" applyFill="1" applyBorder="1"/>
    <xf numFmtId="0" fontId="9" fillId="0" borderId="29" xfId="3" applyBorder="1" applyAlignment="1">
      <alignment horizontal="center"/>
    </xf>
    <xf numFmtId="0" fontId="9" fillId="0" borderId="30" xfId="3" applyBorder="1" applyAlignment="1">
      <alignment horizontal="center"/>
    </xf>
    <xf numFmtId="0" fontId="9" fillId="0" borderId="31" xfId="3" applyBorder="1" applyAlignment="1">
      <alignment horizontal="center"/>
    </xf>
    <xf numFmtId="44" fontId="0" fillId="0" borderId="19" xfId="2" applyFont="1" applyBorder="1">
      <alignment wrapText="1"/>
    </xf>
    <xf numFmtId="0" fontId="3" fillId="5" borderId="12" xfId="0" applyFont="1" applyFill="1" applyBorder="1"/>
    <xf numFmtId="0" fontId="4" fillId="0" borderId="0" xfId="4" applyFont="1" applyFill="1"/>
    <xf numFmtId="0" fontId="0" fillId="6" borderId="5" xfId="0" applyFill="1" applyBorder="1"/>
    <xf numFmtId="0" fontId="3" fillId="6" borderId="5" xfId="0" applyFont="1" applyFill="1" applyBorder="1"/>
    <xf numFmtId="0" fontId="3" fillId="0" borderId="0" xfId="0" applyFont="1" applyFill="1"/>
    <xf numFmtId="0" fontId="0" fillId="0" borderId="0" xfId="0" applyFill="1"/>
    <xf numFmtId="43" fontId="2" fillId="0" borderId="0" xfId="1" applyFill="1" applyBorder="1"/>
    <xf numFmtId="164" fontId="10" fillId="0" borderId="20" xfId="2" applyNumberFormat="1" applyFont="1" applyBorder="1">
      <alignment wrapText="1"/>
    </xf>
    <xf numFmtId="0" fontId="7" fillId="0" borderId="0" xfId="4" applyFont="1"/>
    <xf numFmtId="44" fontId="0" fillId="0" borderId="7" xfId="2" applyFont="1" applyBorder="1">
      <alignment wrapText="1"/>
    </xf>
    <xf numFmtId="0" fontId="14" fillId="0" borderId="0" xfId="0" applyFont="1"/>
    <xf numFmtId="44" fontId="2" fillId="7" borderId="7" xfId="2" applyFill="1" applyBorder="1">
      <alignment wrapText="1"/>
    </xf>
    <xf numFmtId="0" fontId="10" fillId="0" borderId="12" xfId="0" applyFont="1" applyBorder="1"/>
    <xf numFmtId="167" fontId="10" fillId="8" borderId="2" xfId="4" applyNumberFormat="1" applyFont="1" applyFill="1" applyBorder="1"/>
    <xf numFmtId="0" fontId="4" fillId="0" borderId="10" xfId="3" applyFont="1" applyBorder="1"/>
    <xf numFmtId="164" fontId="3" fillId="0" borderId="15" xfId="2" applyNumberFormat="1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167" fontId="0" fillId="0" borderId="28" xfId="1" applyNumberFormat="1" applyFont="1" applyBorder="1"/>
    <xf numFmtId="0" fontId="0" fillId="0" borderId="28" xfId="0" applyBorder="1"/>
    <xf numFmtId="0" fontId="0" fillId="0" borderId="36" xfId="0" applyBorder="1"/>
    <xf numFmtId="167" fontId="3" fillId="0" borderId="17" xfId="0" applyNumberFormat="1" applyFont="1" applyBorder="1"/>
    <xf numFmtId="0" fontId="10" fillId="2" borderId="15" xfId="3" applyFont="1" applyFill="1" applyBorder="1" applyAlignment="1">
      <alignment horizontal="center" wrapText="1"/>
    </xf>
    <xf numFmtId="44" fontId="2" fillId="9" borderId="7" xfId="2" applyFill="1" applyBorder="1">
      <alignment wrapText="1"/>
    </xf>
    <xf numFmtId="43" fontId="2" fillId="0" borderId="0" xfId="1" applyFill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4" fillId="2" borderId="18" xfId="3" applyFont="1" applyFill="1" applyBorder="1" applyAlignment="1">
      <alignment horizontal="center" wrapText="1"/>
    </xf>
    <xf numFmtId="0" fontId="4" fillId="2" borderId="37" xfId="3" applyFont="1" applyFill="1" applyBorder="1" applyAlignment="1">
      <alignment horizontal="center" wrapText="1"/>
    </xf>
    <xf numFmtId="167" fontId="10" fillId="0" borderId="5" xfId="4" applyNumberFormat="1" applyFont="1" applyBorder="1"/>
    <xf numFmtId="167" fontId="10" fillId="0" borderId="24" xfId="4" applyNumberFormat="1" applyFont="1" applyBorder="1"/>
    <xf numFmtId="167" fontId="10" fillId="0" borderId="25" xfId="1" applyNumberFormat="1" applyFont="1" applyBorder="1"/>
    <xf numFmtId="0" fontId="3" fillId="0" borderId="0" xfId="0" applyFont="1" applyAlignment="1">
      <alignment horizontal="center"/>
    </xf>
    <xf numFmtId="0" fontId="10" fillId="0" borderId="0" xfId="3" applyFont="1" applyBorder="1" applyAlignment="1">
      <alignment horizontal="center"/>
    </xf>
    <xf numFmtId="44" fontId="2" fillId="7" borderId="7" xfId="2" applyFont="1" applyFill="1" applyBorder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2" borderId="17" xfId="3" applyFont="1" applyFill="1" applyBorder="1"/>
    <xf numFmtId="0" fontId="4" fillId="2" borderId="23" xfId="3" applyFont="1" applyFill="1" applyBorder="1" applyAlignment="1">
      <alignment horizontal="center" wrapText="1"/>
    </xf>
    <xf numFmtId="0" fontId="4" fillId="2" borderId="19" xfId="3" applyFont="1" applyFill="1" applyBorder="1" applyAlignment="1">
      <alignment horizontal="center" wrapText="1"/>
    </xf>
    <xf numFmtId="0" fontId="4" fillId="0" borderId="11" xfId="3" applyFont="1" applyBorder="1"/>
    <xf numFmtId="10" fontId="4" fillId="0" borderId="11" xfId="5" applyNumberFormat="1" applyFont="1" applyBorder="1" applyAlignment="1">
      <alignment horizontal="center"/>
    </xf>
    <xf numFmtId="164" fontId="4" fillId="0" borderId="11" xfId="2" applyNumberFormat="1" applyFont="1" applyFill="1" applyBorder="1">
      <alignment wrapText="1"/>
    </xf>
    <xf numFmtId="164" fontId="4" fillId="0" borderId="33" xfId="2" applyNumberFormat="1" applyFont="1" applyFill="1" applyBorder="1">
      <alignment wrapText="1"/>
    </xf>
    <xf numFmtId="164" fontId="4" fillId="4" borderId="32" xfId="2" applyNumberFormat="1" applyFont="1" applyFill="1" applyBorder="1">
      <alignment wrapText="1"/>
    </xf>
    <xf numFmtId="164" fontId="4" fillId="0" borderId="34" xfId="2" applyNumberFormat="1" applyFont="1" applyFill="1" applyBorder="1">
      <alignment wrapText="1"/>
    </xf>
    <xf numFmtId="164" fontId="4" fillId="0" borderId="11" xfId="0" applyNumberFormat="1" applyFont="1" applyBorder="1"/>
    <xf numFmtId="0" fontId="4" fillId="0" borderId="7" xfId="3" applyFont="1" applyBorder="1"/>
    <xf numFmtId="167" fontId="4" fillId="4" borderId="22" xfId="1" applyNumberFormat="1" applyFont="1" applyFill="1" applyBorder="1"/>
    <xf numFmtId="167" fontId="4" fillId="0" borderId="21" xfId="1" applyNumberFormat="1" applyFont="1" applyBorder="1"/>
    <xf numFmtId="164" fontId="10" fillId="0" borderId="7" xfId="4" applyNumberFormat="1" applyFont="1" applyBorder="1"/>
    <xf numFmtId="164" fontId="10" fillId="4" borderId="7" xfId="4" applyNumberFormat="1" applyFont="1" applyFill="1" applyBorder="1"/>
    <xf numFmtId="164" fontId="10" fillId="8" borderId="25" xfId="4" applyNumberFormat="1" applyFont="1" applyFill="1" applyBorder="1"/>
    <xf numFmtId="164" fontId="10" fillId="0" borderId="25" xfId="4" applyNumberFormat="1" applyFont="1" applyBorder="1"/>
    <xf numFmtId="10" fontId="4" fillId="0" borderId="0" xfId="5" applyNumberFormat="1" applyFont="1" applyFill="1"/>
    <xf numFmtId="167" fontId="4" fillId="0" borderId="0" xfId="1" applyNumberFormat="1" applyFont="1" applyFill="1"/>
    <xf numFmtId="10" fontId="4" fillId="5" borderId="0" xfId="5" applyNumberFormat="1" applyFont="1" applyFill="1"/>
    <xf numFmtId="167" fontId="4" fillId="8" borderId="2" xfId="1" applyNumberFormat="1" applyFont="1" applyFill="1" applyBorder="1"/>
    <xf numFmtId="167" fontId="4" fillId="2" borderId="2" xfId="1" applyNumberFormat="1" applyFont="1" applyFill="1" applyBorder="1"/>
    <xf numFmtId="169" fontId="4" fillId="0" borderId="3" xfId="5" applyNumberFormat="1" applyFont="1" applyFill="1" applyBorder="1"/>
    <xf numFmtId="169" fontId="4" fillId="0" borderId="27" xfId="5" applyNumberFormat="1" applyFont="1" applyFill="1" applyBorder="1"/>
    <xf numFmtId="167" fontId="4" fillId="0" borderId="0" xfId="1" applyNumberFormat="1" applyFont="1" applyBorder="1"/>
    <xf numFmtId="167" fontId="4" fillId="0" borderId="0" xfId="1" applyNumberFormat="1" applyFont="1" applyBorder="1" applyAlignment="1">
      <alignment horizontal="right"/>
    </xf>
    <xf numFmtId="164" fontId="4" fillId="0" borderId="0" xfId="2" applyNumberFormat="1" applyFont="1" applyBorder="1">
      <alignment wrapText="1"/>
    </xf>
    <xf numFmtId="164" fontId="4" fillId="0" borderId="7" xfId="2" applyNumberFormat="1" applyFont="1" applyBorder="1" applyAlignment="1">
      <alignment horizontal="right"/>
    </xf>
    <xf numFmtId="43" fontId="4" fillId="0" borderId="0" xfId="1" applyFont="1"/>
    <xf numFmtId="9" fontId="4" fillId="0" borderId="7" xfId="5" applyFont="1" applyBorder="1" applyAlignment="1">
      <alignment horizontal="right"/>
    </xf>
    <xf numFmtId="164" fontId="4" fillId="0" borderId="15" xfId="2" applyNumberFormat="1" applyFont="1" applyBorder="1">
      <alignment wrapText="1"/>
    </xf>
    <xf numFmtId="0" fontId="0" fillId="6" borderId="5" xfId="0" applyFill="1" applyBorder="1" applyAlignment="1">
      <alignment horizontal="right"/>
    </xf>
    <xf numFmtId="44" fontId="2" fillId="0" borderId="7" xfId="2" applyBorder="1">
      <alignment wrapText="1"/>
    </xf>
    <xf numFmtId="44" fontId="2" fillId="3" borderId="7" xfId="2" applyFill="1" applyBorder="1">
      <alignment wrapText="1"/>
    </xf>
    <xf numFmtId="0" fontId="10" fillId="0" borderId="0" xfId="0" applyFont="1"/>
    <xf numFmtId="164" fontId="4" fillId="0" borderId="15" xfId="0" applyNumberFormat="1" applyFont="1" applyBorder="1"/>
    <xf numFmtId="44" fontId="2" fillId="0" borderId="7" xfId="2" applyFill="1" applyBorder="1">
      <alignment wrapText="1"/>
    </xf>
    <xf numFmtId="44" fontId="0" fillId="0" borderId="7" xfId="2" applyFont="1" applyFill="1" applyBorder="1">
      <alignment wrapText="1"/>
    </xf>
    <xf numFmtId="0" fontId="10" fillId="0" borderId="17" xfId="58" applyFont="1" applyBorder="1" applyAlignment="1">
      <alignment horizontal="center" wrapText="1"/>
    </xf>
    <xf numFmtId="0" fontId="10" fillId="0" borderId="24" xfId="58" applyFont="1" applyBorder="1" applyAlignment="1">
      <alignment horizontal="center" wrapText="1"/>
    </xf>
    <xf numFmtId="167" fontId="4" fillId="0" borderId="1" xfId="58" applyNumberFormat="1" applyFill="1" applyBorder="1"/>
    <xf numFmtId="167" fontId="4" fillId="0" borderId="26" xfId="58" applyNumberFormat="1" applyFill="1" applyBorder="1"/>
    <xf numFmtId="167" fontId="4" fillId="0" borderId="0" xfId="58" applyNumberFormat="1" applyFill="1" applyBorder="1"/>
    <xf numFmtId="43" fontId="3" fillId="0" borderId="15" xfId="0" applyNumberFormat="1" applyFont="1" applyBorder="1"/>
    <xf numFmtId="43" fontId="2" fillId="0" borderId="0" xfId="1"/>
    <xf numFmtId="44" fontId="0" fillId="0" borderId="0" xfId="0" applyNumberFormat="1"/>
    <xf numFmtId="167" fontId="4" fillId="0" borderId="0" xfId="1" applyNumberFormat="1" applyFont="1"/>
    <xf numFmtId="43" fontId="3" fillId="0" borderId="15" xfId="0" applyNumberFormat="1" applyFont="1" applyFill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7" fontId="4" fillId="0" borderId="0" xfId="1" applyNumberFormat="1" applyFont="1" applyFill="1" applyBorder="1"/>
    <xf numFmtId="167" fontId="4" fillId="0" borderId="2" xfId="1" applyNumberFormat="1" applyFont="1" applyFill="1" applyBorder="1"/>
    <xf numFmtId="164" fontId="4" fillId="0" borderId="0" xfId="2" applyNumberFormat="1" applyFont="1" applyBorder="1">
      <alignment wrapText="1"/>
    </xf>
    <xf numFmtId="164" fontId="4" fillId="0" borderId="15" xfId="2" applyNumberFormat="1" applyFont="1" applyBorder="1">
      <alignment wrapText="1"/>
    </xf>
    <xf numFmtId="0" fontId="10" fillId="0" borderId="17" xfId="58" applyFont="1" applyFill="1" applyBorder="1" applyAlignment="1">
      <alignment horizontal="center" wrapText="1"/>
    </xf>
    <xf numFmtId="0" fontId="35" fillId="0" borderId="0" xfId="0" applyFont="1"/>
    <xf numFmtId="43" fontId="0" fillId="42" borderId="0" xfId="0" applyNumberFormat="1" applyFill="1"/>
    <xf numFmtId="44" fontId="2" fillId="0" borderId="32" xfId="2" applyFont="1" applyFill="1" applyBorder="1" applyAlignment="1">
      <alignment horizontal="right"/>
    </xf>
    <xf numFmtId="0" fontId="0" fillId="0" borderId="0" xfId="0"/>
    <xf numFmtId="0" fontId="3" fillId="0" borderId="0" xfId="0" applyFont="1"/>
    <xf numFmtId="0" fontId="35" fillId="0" borderId="12" xfId="0" applyFont="1" applyFill="1" applyBorder="1"/>
    <xf numFmtId="0" fontId="0" fillId="0" borderId="7" xfId="0" applyBorder="1" applyAlignment="1">
      <alignment horizontal="center"/>
    </xf>
    <xf numFmtId="0" fontId="0" fillId="0" borderId="12" xfId="0" applyFill="1" applyBorder="1"/>
    <xf numFmtId="167" fontId="10" fillId="0" borderId="17" xfId="1" applyNumberFormat="1" applyFont="1" applyFill="1" applyBorder="1"/>
    <xf numFmtId="3" fontId="9" fillId="0" borderId="0" xfId="4" applyNumberFormat="1" applyFill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44" fontId="2" fillId="0" borderId="7" xfId="2" applyBorder="1" applyAlignment="1">
      <alignment wrapText="1"/>
    </xf>
    <xf numFmtId="44" fontId="2" fillId="7" borderId="7" xfId="2" applyFont="1" applyFill="1" applyBorder="1" applyAlignment="1">
      <alignment horizontal="center" wrapText="1"/>
    </xf>
    <xf numFmtId="44" fontId="2" fillId="0" borderId="10" xfId="2" applyBorder="1" applyAlignment="1">
      <alignment wrapText="1"/>
    </xf>
    <xf numFmtId="44" fontId="2" fillId="0" borderId="11" xfId="2" applyBorder="1" applyAlignment="1">
      <alignment wrapText="1"/>
    </xf>
    <xf numFmtId="44" fontId="2" fillId="10" borderId="7" xfId="2" applyFill="1" applyBorder="1" applyAlignment="1">
      <alignment wrapText="1"/>
    </xf>
    <xf numFmtId="44" fontId="2" fillId="4" borderId="15" xfId="2" applyFont="1" applyFill="1" applyBorder="1" applyAlignment="1">
      <alignment horizontal="right" wrapText="1"/>
    </xf>
    <xf numFmtId="44" fontId="13" fillId="0" borderId="0" xfId="2" applyFont="1" applyFill="1" applyAlignment="1">
      <alignment horizontal="left"/>
    </xf>
    <xf numFmtId="3" fontId="38" fillId="0" borderId="0" xfId="0" applyNumberFormat="1" applyFont="1" applyFill="1" applyBorder="1" applyAlignment="1" applyProtection="1">
      <alignment horizontal="right" vertical="top" wrapText="1"/>
    </xf>
    <xf numFmtId="170" fontId="0" fillId="0" borderId="0" xfId="0" applyNumberFormat="1" applyAlignment="1">
      <alignment wrapText="1"/>
    </xf>
    <xf numFmtId="170" fontId="2" fillId="7" borderId="7" xfId="2" applyNumberFormat="1" applyFill="1" applyBorder="1">
      <alignment wrapText="1"/>
    </xf>
    <xf numFmtId="170" fontId="2" fillId="7" borderId="7" xfId="2" applyNumberFormat="1" applyFont="1" applyFill="1" applyBorder="1">
      <alignment wrapText="1"/>
    </xf>
    <xf numFmtId="170" fontId="2" fillId="4" borderId="7" xfId="2" applyNumberFormat="1" applyFill="1" applyBorder="1">
      <alignment wrapText="1"/>
    </xf>
    <xf numFmtId="170" fontId="2" fillId="0" borderId="11" xfId="2" applyNumberFormat="1" applyBorder="1" applyAlignment="1">
      <alignment wrapText="1"/>
    </xf>
    <xf numFmtId="44" fontId="4" fillId="0" borderId="12" xfId="2" applyFont="1" applyBorder="1">
      <alignment wrapText="1"/>
    </xf>
    <xf numFmtId="44" fontId="35" fillId="0" borderId="12" xfId="2" applyFont="1" applyBorder="1">
      <alignment wrapText="1"/>
    </xf>
    <xf numFmtId="44" fontId="0" fillId="0" borderId="12" xfId="2" applyFont="1" applyBorder="1">
      <alignment wrapText="1"/>
    </xf>
    <xf numFmtId="44" fontId="2" fillId="7" borderId="12" xfId="2" applyFont="1" applyFill="1" applyBorder="1" applyAlignment="1">
      <alignment horizontal="center"/>
    </xf>
    <xf numFmtId="44" fontId="2" fillId="0" borderId="12" xfId="2" applyFont="1" applyBorder="1" applyAlignment="1">
      <alignment wrapText="1"/>
    </xf>
    <xf numFmtId="44" fontId="4" fillId="0" borderId="12" xfId="2" applyFont="1" applyBorder="1" applyAlignment="1">
      <alignment wrapText="1"/>
    </xf>
    <xf numFmtId="44" fontId="2" fillId="0" borderId="12" xfId="2" applyBorder="1">
      <alignment wrapText="1"/>
    </xf>
    <xf numFmtId="44" fontId="2" fillId="10" borderId="12" xfId="2" applyFont="1" applyFill="1" applyBorder="1">
      <alignment wrapText="1"/>
    </xf>
    <xf numFmtId="44" fontId="5" fillId="4" borderId="12" xfId="2" applyFont="1" applyFill="1" applyBorder="1" applyAlignment="1">
      <alignment wrapText="1"/>
    </xf>
    <xf numFmtId="44" fontId="2" fillId="0" borderId="13" xfId="2" applyBorder="1">
      <alignment wrapText="1"/>
    </xf>
    <xf numFmtId="44" fontId="4" fillId="0" borderId="25" xfId="2" applyFont="1" applyBorder="1" applyAlignment="1">
      <alignment horizontal="left"/>
    </xf>
    <xf numFmtId="44" fontId="2" fillId="0" borderId="14" xfId="2" applyBorder="1">
      <alignment wrapText="1"/>
    </xf>
    <xf numFmtId="170" fontId="0" fillId="0" borderId="7" xfId="0" applyNumberFormat="1" applyBorder="1" applyAlignment="1">
      <alignment wrapText="1"/>
    </xf>
    <xf numFmtId="43" fontId="0" fillId="0" borderId="0" xfId="1" applyFont="1"/>
    <xf numFmtId="44" fontId="10" fillId="4" borderId="7" xfId="4" applyNumberFormat="1" applyFont="1" applyFill="1" applyBorder="1"/>
    <xf numFmtId="170" fontId="0" fillId="0" borderId="19" xfId="2" applyNumberFormat="1" applyFont="1" applyBorder="1" applyAlignment="1">
      <alignment wrapText="1"/>
    </xf>
    <xf numFmtId="44" fontId="2" fillId="0" borderId="7" xfId="2" applyFont="1" applyBorder="1">
      <alignment wrapText="1"/>
    </xf>
    <xf numFmtId="44" fontId="2" fillId="4" borderId="15" xfId="2" applyFont="1" applyFill="1" applyBorder="1">
      <alignment wrapText="1"/>
    </xf>
    <xf numFmtId="170" fontId="0" fillId="0" borderId="18" xfId="2" applyNumberFormat="1" applyFont="1" applyBorder="1">
      <alignment wrapText="1"/>
    </xf>
    <xf numFmtId="0" fontId="10" fillId="0" borderId="25" xfId="58" applyFont="1" applyFill="1" applyBorder="1" applyAlignment="1">
      <alignment horizontal="center" wrapText="1"/>
    </xf>
    <xf numFmtId="167" fontId="4" fillId="0" borderId="3" xfId="1" applyNumberFormat="1" applyFont="1" applyFill="1" applyBorder="1"/>
    <xf numFmtId="167" fontId="4" fillId="0" borderId="27" xfId="58" applyNumberFormat="1" applyFill="1" applyBorder="1"/>
    <xf numFmtId="44" fontId="10" fillId="0" borderId="18" xfId="2" applyFont="1" applyFill="1" applyBorder="1">
      <alignment wrapText="1"/>
    </xf>
    <xf numFmtId="0" fontId="4" fillId="0" borderId="0" xfId="0" applyFont="1" applyAlignment="1">
      <alignment horizontal="left"/>
    </xf>
    <xf numFmtId="44" fontId="3" fillId="6" borderId="5" xfId="2" applyFont="1" applyFill="1" applyBorder="1">
      <alignment wrapText="1"/>
    </xf>
    <xf numFmtId="44" fontId="0" fillId="0" borderId="0" xfId="2" applyFont="1" applyFill="1">
      <alignment wrapText="1"/>
    </xf>
    <xf numFmtId="43" fontId="0" fillId="0" borderId="0" xfId="1" applyFont="1" applyFill="1" applyAlignment="1">
      <alignment wrapText="1"/>
    </xf>
    <xf numFmtId="0" fontId="2" fillId="0" borderId="12" xfId="0" applyFont="1" applyFill="1" applyBorder="1"/>
    <xf numFmtId="0" fontId="3" fillId="0" borderId="0" xfId="0" applyFont="1" applyAlignment="1">
      <alignment horizontal="center"/>
    </xf>
    <xf numFmtId="44" fontId="0" fillId="42" borderId="0" xfId="0" applyNumberFormat="1" applyFill="1"/>
    <xf numFmtId="0" fontId="0" fillId="0" borderId="17" xfId="0" applyBorder="1" applyAlignment="1">
      <alignment horizontal="left"/>
    </xf>
    <xf numFmtId="44" fontId="2" fillId="0" borderId="12" xfId="2" applyFont="1" applyBorder="1" applyAlignment="1">
      <alignment vertical="center" wrapText="1"/>
    </xf>
    <xf numFmtId="164" fontId="10" fillId="0" borderId="0" xfId="4" applyNumberFormat="1" applyFont="1" applyBorder="1"/>
    <xf numFmtId="0" fontId="4" fillId="0" borderId="0" xfId="4" applyFont="1"/>
    <xf numFmtId="164" fontId="10" fillId="43" borderId="7" xfId="4" applyNumberFormat="1" applyFont="1" applyFill="1" applyBorder="1"/>
    <xf numFmtId="167" fontId="4" fillId="43" borderId="0" xfId="1" applyNumberFormat="1" applyFont="1" applyFill="1" applyBorder="1"/>
    <xf numFmtId="167" fontId="9" fillId="0" borderId="0" xfId="4" applyNumberFormat="1"/>
    <xf numFmtId="167" fontId="9" fillId="0" borderId="15" xfId="4" applyNumberFormat="1" applyBorder="1"/>
    <xf numFmtId="169" fontId="9" fillId="0" borderId="15" xfId="5" applyNumberFormat="1" applyFont="1" applyBorder="1"/>
    <xf numFmtId="169" fontId="9" fillId="43" borderId="0" xfId="5" applyNumberFormat="1" applyFont="1" applyFill="1"/>
    <xf numFmtId="167" fontId="4" fillId="8" borderId="0" xfId="1" applyNumberFormat="1" applyFont="1" applyFill="1" applyBorder="1"/>
    <xf numFmtId="0" fontId="4" fillId="2" borderId="17" xfId="3" applyFont="1" applyFill="1" applyBorder="1" applyAlignment="1">
      <alignment horizontal="center" wrapText="1"/>
    </xf>
    <xf numFmtId="167" fontId="9" fillId="0" borderId="28" xfId="3" applyNumberFormat="1" applyBorder="1"/>
    <xf numFmtId="167" fontId="4" fillId="0" borderId="36" xfId="1" applyNumberFormat="1" applyFont="1" applyBorder="1"/>
    <xf numFmtId="0" fontId="9" fillId="0" borderId="28" xfId="3" applyBorder="1"/>
    <xf numFmtId="0" fontId="9" fillId="0" borderId="36" xfId="3" applyBorder="1"/>
    <xf numFmtId="164" fontId="10" fillId="0" borderId="0" xfId="4" applyNumberFormat="1" applyFont="1" applyFill="1" applyBorder="1"/>
    <xf numFmtId="44" fontId="0" fillId="0" borderId="0" xfId="0" applyNumberFormat="1" applyFill="1"/>
    <xf numFmtId="43" fontId="3" fillId="10" borderId="15" xfId="0" applyNumberFormat="1" applyFont="1" applyFill="1" applyBorder="1"/>
    <xf numFmtId="43" fontId="3" fillId="44" borderId="15" xfId="0" applyNumberFormat="1" applyFont="1" applyFill="1" applyBorder="1"/>
    <xf numFmtId="43" fontId="3" fillId="45" borderId="15" xfId="0" applyNumberFormat="1" applyFont="1" applyFill="1" applyBorder="1"/>
    <xf numFmtId="43" fontId="3" fillId="46" borderId="15" xfId="0" applyNumberFormat="1" applyFont="1" applyFill="1" applyBorder="1"/>
    <xf numFmtId="43" fontId="3" fillId="47" borderId="15" xfId="0" applyNumberFormat="1" applyFont="1" applyFill="1" applyBorder="1"/>
    <xf numFmtId="43" fontId="3" fillId="48" borderId="15" xfId="0" applyNumberFormat="1" applyFont="1" applyFill="1" applyBorder="1"/>
    <xf numFmtId="43" fontId="3" fillId="49" borderId="15" xfId="0" applyNumberFormat="1" applyFont="1" applyFill="1" applyBorder="1"/>
    <xf numFmtId="43" fontId="3" fillId="50" borderId="15" xfId="0" applyNumberFormat="1" applyFont="1" applyFill="1" applyBorder="1"/>
    <xf numFmtId="43" fontId="3" fillId="0" borderId="0" xfId="0" applyNumberFormat="1" applyFont="1" applyFill="1" applyBorder="1"/>
    <xf numFmtId="0" fontId="0" fillId="0" borderId="0" xfId="0" applyFill="1" applyBorder="1"/>
    <xf numFmtId="0" fontId="0" fillId="42" borderId="0" xfId="0" applyFill="1"/>
    <xf numFmtId="0" fontId="4" fillId="0" borderId="0" xfId="4" applyFont="1" applyFill="1" applyAlignment="1">
      <alignment horizontal="center"/>
    </xf>
    <xf numFmtId="167" fontId="4" fillId="0" borderId="0" xfId="4" applyNumberFormat="1" applyFont="1" applyFill="1" applyBorder="1" applyAlignment="1">
      <alignment horizontal="right"/>
    </xf>
    <xf numFmtId="169" fontId="4" fillId="0" borderId="27" xfId="5" applyNumberFormat="1" applyFont="1" applyFill="1" applyBorder="1" applyAlignment="1">
      <alignment horizontal="right"/>
    </xf>
    <xf numFmtId="167" fontId="9" fillId="0" borderId="0" xfId="1" applyNumberFormat="1" applyFont="1" applyFill="1"/>
    <xf numFmtId="10" fontId="9" fillId="0" borderId="0" xfId="5" applyNumberFormat="1" applyFont="1" applyFill="1"/>
    <xf numFmtId="167" fontId="9" fillId="0" borderId="5" xfId="4" applyNumberFormat="1" applyFill="1" applyBorder="1"/>
    <xf numFmtId="10" fontId="3" fillId="0" borderId="0" xfId="5" applyNumberFormat="1" applyFont="1"/>
    <xf numFmtId="0" fontId="10" fillId="0" borderId="1" xfId="4" applyFont="1" applyBorder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10" fillId="8" borderId="2" xfId="4" applyFont="1" applyFill="1" applyBorder="1" applyAlignment="1">
      <alignment horizontal="center" wrapText="1"/>
    </xf>
    <xf numFmtId="0" fontId="10" fillId="2" borderId="2" xfId="4" applyFont="1" applyFill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167" fontId="4" fillId="0" borderId="5" xfId="1" applyNumberFormat="1" applyFont="1" applyFill="1" applyBorder="1"/>
    <xf numFmtId="167" fontId="4" fillId="8" borderId="5" xfId="1" applyNumberFormat="1" applyFont="1" applyFill="1" applyBorder="1"/>
    <xf numFmtId="167" fontId="9" fillId="2" borderId="5" xfId="4" applyNumberFormat="1" applyFill="1" applyBorder="1"/>
    <xf numFmtId="169" fontId="4" fillId="0" borderId="6" xfId="5" applyNumberFormat="1" applyFont="1" applyFill="1" applyBorder="1"/>
    <xf numFmtId="0" fontId="2" fillId="0" borderId="0" xfId="0" applyFont="1" applyFill="1" applyBorder="1"/>
    <xf numFmtId="167" fontId="4" fillId="0" borderId="33" xfId="1" applyNumberFormat="1" applyFont="1" applyFill="1" applyBorder="1" applyAlignment="1">
      <alignment wrapText="1"/>
    </xf>
    <xf numFmtId="0" fontId="10" fillId="0" borderId="17" xfId="4" applyFont="1" applyFill="1" applyBorder="1" applyAlignment="1">
      <alignment horizontal="center" wrapText="1"/>
    </xf>
    <xf numFmtId="167" fontId="4" fillId="51" borderId="0" xfId="1" applyNumberFormat="1" applyFont="1" applyFill="1"/>
    <xf numFmtId="167" fontId="9" fillId="51" borderId="0" xfId="1" applyNumberFormat="1" applyFont="1" applyFill="1"/>
    <xf numFmtId="167" fontId="4" fillId="52" borderId="0" xfId="1" applyNumberFormat="1" applyFont="1" applyFill="1"/>
    <xf numFmtId="167" fontId="10" fillId="0" borderId="17" xfId="1" applyNumberFormat="1" applyFont="1" applyFill="1" applyBorder="1" applyAlignment="1">
      <alignment horizontal="center" wrapText="1"/>
    </xf>
    <xf numFmtId="0" fontId="10" fillId="0" borderId="0" xfId="4" applyFont="1" applyFill="1" applyAlignment="1">
      <alignment horizontal="center"/>
    </xf>
    <xf numFmtId="9" fontId="9" fillId="0" borderId="0" xfId="4" applyNumberFormat="1" applyFill="1" applyAlignment="1">
      <alignment horizontal="center"/>
    </xf>
    <xf numFmtId="165" fontId="9" fillId="0" borderId="0" xfId="4" applyNumberFormat="1" applyFill="1"/>
    <xf numFmtId="0" fontId="10" fillId="0" borderId="17" xfId="4" applyFont="1" applyFill="1" applyBorder="1"/>
    <xf numFmtId="167" fontId="10" fillId="0" borderId="17" xfId="4" applyNumberFormat="1" applyFont="1" applyFill="1" applyBorder="1"/>
    <xf numFmtId="167" fontId="10" fillId="0" borderId="5" xfId="4" applyNumberFormat="1" applyFont="1" applyFill="1" applyBorder="1"/>
    <xf numFmtId="0" fontId="9" fillId="0" borderId="0" xfId="4" applyFill="1" applyAlignment="1">
      <alignment horizontal="right"/>
    </xf>
    <xf numFmtId="167" fontId="4" fillId="4" borderId="35" xfId="1" applyNumberFormat="1" applyFont="1" applyFill="1" applyBorder="1"/>
    <xf numFmtId="0" fontId="9" fillId="4" borderId="47" xfId="3" applyFill="1" applyBorder="1"/>
    <xf numFmtId="167" fontId="4" fillId="4" borderId="15" xfId="1" applyNumberFormat="1" applyFont="1" applyFill="1" applyBorder="1"/>
    <xf numFmtId="0" fontId="8" fillId="0" borderId="0" xfId="4" applyFont="1" applyFill="1"/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10" fillId="0" borderId="24" xfId="4" applyFont="1" applyBorder="1" applyAlignment="1">
      <alignment horizontal="center"/>
    </xf>
    <xf numFmtId="0" fontId="10" fillId="0" borderId="17" xfId="4" applyFont="1" applyBorder="1" applyAlignment="1">
      <alignment horizontal="center"/>
    </xf>
    <xf numFmtId="0" fontId="10" fillId="0" borderId="25" xfId="4" applyFont="1" applyBorder="1" applyAlignment="1">
      <alignment horizontal="center"/>
    </xf>
    <xf numFmtId="0" fontId="7" fillId="0" borderId="24" xfId="4" applyFont="1" applyBorder="1" applyAlignment="1">
      <alignment horizontal="center"/>
    </xf>
    <xf numFmtId="0" fontId="7" fillId="0" borderId="17" xfId="4" applyFont="1" applyBorder="1" applyAlignment="1">
      <alignment horizontal="center"/>
    </xf>
    <xf numFmtId="0" fontId="7" fillId="0" borderId="25" xfId="4" applyFont="1" applyBorder="1" applyAlignment="1">
      <alignment horizontal="center"/>
    </xf>
    <xf numFmtId="0" fontId="10" fillId="0" borderId="0" xfId="3" applyFont="1" applyBorder="1" applyAlignment="1">
      <alignment horizontal="center"/>
    </xf>
  </cellXfs>
  <cellStyles count="1084">
    <cellStyle name="20% - Accent1" xfId="35" builtinId="30" customBuiltin="1"/>
    <cellStyle name="20% - Accent1 10" xfId="64" xr:uid="{00000000-0005-0000-0000-000001000000}"/>
    <cellStyle name="20% - Accent1 11" xfId="65" xr:uid="{00000000-0005-0000-0000-000002000000}"/>
    <cellStyle name="20% - Accent1 12" xfId="66" xr:uid="{00000000-0005-0000-0000-000003000000}"/>
    <cellStyle name="20% - Accent1 13" xfId="67" xr:uid="{00000000-0005-0000-0000-000004000000}"/>
    <cellStyle name="20% - Accent1 14" xfId="68" xr:uid="{00000000-0005-0000-0000-000005000000}"/>
    <cellStyle name="20% - Accent1 15" xfId="69" xr:uid="{00000000-0005-0000-0000-000006000000}"/>
    <cellStyle name="20% - Accent1 16" xfId="70" xr:uid="{00000000-0005-0000-0000-000007000000}"/>
    <cellStyle name="20% - Accent1 17" xfId="71" xr:uid="{00000000-0005-0000-0000-000008000000}"/>
    <cellStyle name="20% - Accent1 18" xfId="72" xr:uid="{00000000-0005-0000-0000-000009000000}"/>
    <cellStyle name="20% - Accent1 19" xfId="73" xr:uid="{00000000-0005-0000-0000-00000A000000}"/>
    <cellStyle name="20% - Accent1 2" xfId="74" xr:uid="{00000000-0005-0000-0000-00000B000000}"/>
    <cellStyle name="20% - Accent1 2 10" xfId="75" xr:uid="{00000000-0005-0000-0000-00000C000000}"/>
    <cellStyle name="20% - Accent1 2 11" xfId="76" xr:uid="{00000000-0005-0000-0000-00000D000000}"/>
    <cellStyle name="20% - Accent1 2 12" xfId="77" xr:uid="{00000000-0005-0000-0000-00000E000000}"/>
    <cellStyle name="20% - Accent1 2 13" xfId="78" xr:uid="{00000000-0005-0000-0000-00000F000000}"/>
    <cellStyle name="20% - Accent1 2 14" xfId="79" xr:uid="{00000000-0005-0000-0000-000010000000}"/>
    <cellStyle name="20% - Accent1 2 15" xfId="80" xr:uid="{00000000-0005-0000-0000-000011000000}"/>
    <cellStyle name="20% - Accent1 2 16" xfId="81" xr:uid="{00000000-0005-0000-0000-000012000000}"/>
    <cellStyle name="20% - Accent1 2 17" xfId="82" xr:uid="{00000000-0005-0000-0000-000013000000}"/>
    <cellStyle name="20% - Accent1 2 18" xfId="83" xr:uid="{00000000-0005-0000-0000-000014000000}"/>
    <cellStyle name="20% - Accent1 2 19" xfId="84" xr:uid="{00000000-0005-0000-0000-000015000000}"/>
    <cellStyle name="20% - Accent1 2 2" xfId="85" xr:uid="{00000000-0005-0000-0000-000016000000}"/>
    <cellStyle name="20% - Accent1 2 20" xfId="86" xr:uid="{00000000-0005-0000-0000-000017000000}"/>
    <cellStyle name="20% - Accent1 2 21" xfId="87" xr:uid="{00000000-0005-0000-0000-000018000000}"/>
    <cellStyle name="20% - Accent1 2 22" xfId="88" xr:uid="{00000000-0005-0000-0000-000019000000}"/>
    <cellStyle name="20% - Accent1 2 23" xfId="89" xr:uid="{00000000-0005-0000-0000-00001A000000}"/>
    <cellStyle name="20% - Accent1 2 24" xfId="90" xr:uid="{00000000-0005-0000-0000-00001B000000}"/>
    <cellStyle name="20% - Accent1 2 25" xfId="91" xr:uid="{00000000-0005-0000-0000-00001C000000}"/>
    <cellStyle name="20% - Accent1 2 26" xfId="92" xr:uid="{00000000-0005-0000-0000-00001D000000}"/>
    <cellStyle name="20% - Accent1 2 27" xfId="93" xr:uid="{00000000-0005-0000-0000-00001E000000}"/>
    <cellStyle name="20% - Accent1 2 3" xfId="94" xr:uid="{00000000-0005-0000-0000-00001F000000}"/>
    <cellStyle name="20% - Accent1 2 4" xfId="95" xr:uid="{00000000-0005-0000-0000-000020000000}"/>
    <cellStyle name="20% - Accent1 2 5" xfId="96" xr:uid="{00000000-0005-0000-0000-000021000000}"/>
    <cellStyle name="20% - Accent1 2 6" xfId="97" xr:uid="{00000000-0005-0000-0000-000022000000}"/>
    <cellStyle name="20% - Accent1 2 7" xfId="98" xr:uid="{00000000-0005-0000-0000-000023000000}"/>
    <cellStyle name="20% - Accent1 2 8" xfId="99" xr:uid="{00000000-0005-0000-0000-000024000000}"/>
    <cellStyle name="20% - Accent1 2 9" xfId="100" xr:uid="{00000000-0005-0000-0000-000025000000}"/>
    <cellStyle name="20% - Accent1 20" xfId="101" xr:uid="{00000000-0005-0000-0000-000026000000}"/>
    <cellStyle name="20% - Accent1 21" xfId="102" xr:uid="{00000000-0005-0000-0000-000027000000}"/>
    <cellStyle name="20% - Accent1 22" xfId="103" xr:uid="{00000000-0005-0000-0000-000028000000}"/>
    <cellStyle name="20% - Accent1 23" xfId="104" xr:uid="{00000000-0005-0000-0000-000029000000}"/>
    <cellStyle name="20% - Accent1 24" xfId="105" xr:uid="{00000000-0005-0000-0000-00002A000000}"/>
    <cellStyle name="20% - Accent1 25" xfId="106" xr:uid="{00000000-0005-0000-0000-00002B000000}"/>
    <cellStyle name="20% - Accent1 26" xfId="107" xr:uid="{00000000-0005-0000-0000-00002C000000}"/>
    <cellStyle name="20% - Accent1 27" xfId="108" xr:uid="{00000000-0005-0000-0000-00002D000000}"/>
    <cellStyle name="20% - Accent1 28" xfId="109" xr:uid="{00000000-0005-0000-0000-00002E000000}"/>
    <cellStyle name="20% - Accent1 3" xfId="110" xr:uid="{00000000-0005-0000-0000-00002F000000}"/>
    <cellStyle name="20% - Accent1 4" xfId="111" xr:uid="{00000000-0005-0000-0000-000030000000}"/>
    <cellStyle name="20% - Accent1 5" xfId="112" xr:uid="{00000000-0005-0000-0000-000031000000}"/>
    <cellStyle name="20% - Accent1 6" xfId="113" xr:uid="{00000000-0005-0000-0000-000032000000}"/>
    <cellStyle name="20% - Accent1 7" xfId="114" xr:uid="{00000000-0005-0000-0000-000033000000}"/>
    <cellStyle name="20% - Accent1 8" xfId="115" xr:uid="{00000000-0005-0000-0000-000034000000}"/>
    <cellStyle name="20% - Accent1 9" xfId="116" xr:uid="{00000000-0005-0000-0000-000035000000}"/>
    <cellStyle name="20% - Accent2" xfId="39" builtinId="34" customBuiltin="1"/>
    <cellStyle name="20% - Accent2 10" xfId="117" xr:uid="{00000000-0005-0000-0000-000037000000}"/>
    <cellStyle name="20% - Accent2 11" xfId="118" xr:uid="{00000000-0005-0000-0000-000038000000}"/>
    <cellStyle name="20% - Accent2 12" xfId="119" xr:uid="{00000000-0005-0000-0000-000039000000}"/>
    <cellStyle name="20% - Accent2 13" xfId="120" xr:uid="{00000000-0005-0000-0000-00003A000000}"/>
    <cellStyle name="20% - Accent2 14" xfId="121" xr:uid="{00000000-0005-0000-0000-00003B000000}"/>
    <cellStyle name="20% - Accent2 15" xfId="122" xr:uid="{00000000-0005-0000-0000-00003C000000}"/>
    <cellStyle name="20% - Accent2 16" xfId="123" xr:uid="{00000000-0005-0000-0000-00003D000000}"/>
    <cellStyle name="20% - Accent2 17" xfId="124" xr:uid="{00000000-0005-0000-0000-00003E000000}"/>
    <cellStyle name="20% - Accent2 18" xfId="125" xr:uid="{00000000-0005-0000-0000-00003F000000}"/>
    <cellStyle name="20% - Accent2 19" xfId="126" xr:uid="{00000000-0005-0000-0000-000040000000}"/>
    <cellStyle name="20% - Accent2 2" xfId="127" xr:uid="{00000000-0005-0000-0000-000041000000}"/>
    <cellStyle name="20% - Accent2 2 10" xfId="128" xr:uid="{00000000-0005-0000-0000-000042000000}"/>
    <cellStyle name="20% - Accent2 2 11" xfId="129" xr:uid="{00000000-0005-0000-0000-000043000000}"/>
    <cellStyle name="20% - Accent2 2 12" xfId="130" xr:uid="{00000000-0005-0000-0000-000044000000}"/>
    <cellStyle name="20% - Accent2 2 13" xfId="131" xr:uid="{00000000-0005-0000-0000-000045000000}"/>
    <cellStyle name="20% - Accent2 2 14" xfId="132" xr:uid="{00000000-0005-0000-0000-000046000000}"/>
    <cellStyle name="20% - Accent2 2 15" xfId="133" xr:uid="{00000000-0005-0000-0000-000047000000}"/>
    <cellStyle name="20% - Accent2 2 16" xfId="134" xr:uid="{00000000-0005-0000-0000-000048000000}"/>
    <cellStyle name="20% - Accent2 2 17" xfId="135" xr:uid="{00000000-0005-0000-0000-000049000000}"/>
    <cellStyle name="20% - Accent2 2 18" xfId="136" xr:uid="{00000000-0005-0000-0000-00004A000000}"/>
    <cellStyle name="20% - Accent2 2 19" xfId="137" xr:uid="{00000000-0005-0000-0000-00004B000000}"/>
    <cellStyle name="20% - Accent2 2 2" xfId="138" xr:uid="{00000000-0005-0000-0000-00004C000000}"/>
    <cellStyle name="20% - Accent2 2 20" xfId="139" xr:uid="{00000000-0005-0000-0000-00004D000000}"/>
    <cellStyle name="20% - Accent2 2 21" xfId="140" xr:uid="{00000000-0005-0000-0000-00004E000000}"/>
    <cellStyle name="20% - Accent2 2 22" xfId="141" xr:uid="{00000000-0005-0000-0000-00004F000000}"/>
    <cellStyle name="20% - Accent2 2 23" xfId="142" xr:uid="{00000000-0005-0000-0000-000050000000}"/>
    <cellStyle name="20% - Accent2 2 24" xfId="143" xr:uid="{00000000-0005-0000-0000-000051000000}"/>
    <cellStyle name="20% - Accent2 2 25" xfId="144" xr:uid="{00000000-0005-0000-0000-000052000000}"/>
    <cellStyle name="20% - Accent2 2 26" xfId="145" xr:uid="{00000000-0005-0000-0000-000053000000}"/>
    <cellStyle name="20% - Accent2 2 27" xfId="146" xr:uid="{00000000-0005-0000-0000-000054000000}"/>
    <cellStyle name="20% - Accent2 2 3" xfId="147" xr:uid="{00000000-0005-0000-0000-000055000000}"/>
    <cellStyle name="20% - Accent2 2 4" xfId="148" xr:uid="{00000000-0005-0000-0000-000056000000}"/>
    <cellStyle name="20% - Accent2 2 5" xfId="149" xr:uid="{00000000-0005-0000-0000-000057000000}"/>
    <cellStyle name="20% - Accent2 2 6" xfId="150" xr:uid="{00000000-0005-0000-0000-000058000000}"/>
    <cellStyle name="20% - Accent2 2 7" xfId="151" xr:uid="{00000000-0005-0000-0000-000059000000}"/>
    <cellStyle name="20% - Accent2 2 8" xfId="152" xr:uid="{00000000-0005-0000-0000-00005A000000}"/>
    <cellStyle name="20% - Accent2 2 9" xfId="153" xr:uid="{00000000-0005-0000-0000-00005B000000}"/>
    <cellStyle name="20% - Accent2 20" xfId="154" xr:uid="{00000000-0005-0000-0000-00005C000000}"/>
    <cellStyle name="20% - Accent2 21" xfId="155" xr:uid="{00000000-0005-0000-0000-00005D000000}"/>
    <cellStyle name="20% - Accent2 22" xfId="156" xr:uid="{00000000-0005-0000-0000-00005E000000}"/>
    <cellStyle name="20% - Accent2 23" xfId="157" xr:uid="{00000000-0005-0000-0000-00005F000000}"/>
    <cellStyle name="20% - Accent2 24" xfId="158" xr:uid="{00000000-0005-0000-0000-000060000000}"/>
    <cellStyle name="20% - Accent2 25" xfId="159" xr:uid="{00000000-0005-0000-0000-000061000000}"/>
    <cellStyle name="20% - Accent2 26" xfId="160" xr:uid="{00000000-0005-0000-0000-000062000000}"/>
    <cellStyle name="20% - Accent2 27" xfId="161" xr:uid="{00000000-0005-0000-0000-000063000000}"/>
    <cellStyle name="20% - Accent2 28" xfId="162" xr:uid="{00000000-0005-0000-0000-000064000000}"/>
    <cellStyle name="20% - Accent2 3" xfId="163" xr:uid="{00000000-0005-0000-0000-000065000000}"/>
    <cellStyle name="20% - Accent2 4" xfId="164" xr:uid="{00000000-0005-0000-0000-000066000000}"/>
    <cellStyle name="20% - Accent2 5" xfId="165" xr:uid="{00000000-0005-0000-0000-000067000000}"/>
    <cellStyle name="20% - Accent2 6" xfId="166" xr:uid="{00000000-0005-0000-0000-000068000000}"/>
    <cellStyle name="20% - Accent2 7" xfId="167" xr:uid="{00000000-0005-0000-0000-000069000000}"/>
    <cellStyle name="20% - Accent2 8" xfId="168" xr:uid="{00000000-0005-0000-0000-00006A000000}"/>
    <cellStyle name="20% - Accent2 9" xfId="169" xr:uid="{00000000-0005-0000-0000-00006B000000}"/>
    <cellStyle name="20% - Accent3" xfId="43" builtinId="38" customBuiltin="1"/>
    <cellStyle name="20% - Accent3 10" xfId="170" xr:uid="{00000000-0005-0000-0000-00006D000000}"/>
    <cellStyle name="20% - Accent3 11" xfId="171" xr:uid="{00000000-0005-0000-0000-00006E000000}"/>
    <cellStyle name="20% - Accent3 12" xfId="172" xr:uid="{00000000-0005-0000-0000-00006F000000}"/>
    <cellStyle name="20% - Accent3 13" xfId="173" xr:uid="{00000000-0005-0000-0000-000070000000}"/>
    <cellStyle name="20% - Accent3 14" xfId="174" xr:uid="{00000000-0005-0000-0000-000071000000}"/>
    <cellStyle name="20% - Accent3 15" xfId="175" xr:uid="{00000000-0005-0000-0000-000072000000}"/>
    <cellStyle name="20% - Accent3 16" xfId="176" xr:uid="{00000000-0005-0000-0000-000073000000}"/>
    <cellStyle name="20% - Accent3 17" xfId="177" xr:uid="{00000000-0005-0000-0000-000074000000}"/>
    <cellStyle name="20% - Accent3 18" xfId="178" xr:uid="{00000000-0005-0000-0000-000075000000}"/>
    <cellStyle name="20% - Accent3 19" xfId="179" xr:uid="{00000000-0005-0000-0000-000076000000}"/>
    <cellStyle name="20% - Accent3 2" xfId="180" xr:uid="{00000000-0005-0000-0000-000077000000}"/>
    <cellStyle name="20% - Accent3 2 10" xfId="181" xr:uid="{00000000-0005-0000-0000-000078000000}"/>
    <cellStyle name="20% - Accent3 2 11" xfId="182" xr:uid="{00000000-0005-0000-0000-000079000000}"/>
    <cellStyle name="20% - Accent3 2 12" xfId="183" xr:uid="{00000000-0005-0000-0000-00007A000000}"/>
    <cellStyle name="20% - Accent3 2 13" xfId="184" xr:uid="{00000000-0005-0000-0000-00007B000000}"/>
    <cellStyle name="20% - Accent3 2 14" xfId="185" xr:uid="{00000000-0005-0000-0000-00007C000000}"/>
    <cellStyle name="20% - Accent3 2 15" xfId="186" xr:uid="{00000000-0005-0000-0000-00007D000000}"/>
    <cellStyle name="20% - Accent3 2 16" xfId="187" xr:uid="{00000000-0005-0000-0000-00007E000000}"/>
    <cellStyle name="20% - Accent3 2 17" xfId="188" xr:uid="{00000000-0005-0000-0000-00007F000000}"/>
    <cellStyle name="20% - Accent3 2 18" xfId="189" xr:uid="{00000000-0005-0000-0000-000080000000}"/>
    <cellStyle name="20% - Accent3 2 19" xfId="190" xr:uid="{00000000-0005-0000-0000-000081000000}"/>
    <cellStyle name="20% - Accent3 2 2" xfId="191" xr:uid="{00000000-0005-0000-0000-000082000000}"/>
    <cellStyle name="20% - Accent3 2 20" xfId="192" xr:uid="{00000000-0005-0000-0000-000083000000}"/>
    <cellStyle name="20% - Accent3 2 21" xfId="193" xr:uid="{00000000-0005-0000-0000-000084000000}"/>
    <cellStyle name="20% - Accent3 2 22" xfId="194" xr:uid="{00000000-0005-0000-0000-000085000000}"/>
    <cellStyle name="20% - Accent3 2 23" xfId="195" xr:uid="{00000000-0005-0000-0000-000086000000}"/>
    <cellStyle name="20% - Accent3 2 24" xfId="196" xr:uid="{00000000-0005-0000-0000-000087000000}"/>
    <cellStyle name="20% - Accent3 2 25" xfId="197" xr:uid="{00000000-0005-0000-0000-000088000000}"/>
    <cellStyle name="20% - Accent3 2 26" xfId="198" xr:uid="{00000000-0005-0000-0000-000089000000}"/>
    <cellStyle name="20% - Accent3 2 27" xfId="199" xr:uid="{00000000-0005-0000-0000-00008A000000}"/>
    <cellStyle name="20% - Accent3 2 3" xfId="200" xr:uid="{00000000-0005-0000-0000-00008B000000}"/>
    <cellStyle name="20% - Accent3 2 4" xfId="201" xr:uid="{00000000-0005-0000-0000-00008C000000}"/>
    <cellStyle name="20% - Accent3 2 5" xfId="202" xr:uid="{00000000-0005-0000-0000-00008D000000}"/>
    <cellStyle name="20% - Accent3 2 6" xfId="203" xr:uid="{00000000-0005-0000-0000-00008E000000}"/>
    <cellStyle name="20% - Accent3 2 7" xfId="204" xr:uid="{00000000-0005-0000-0000-00008F000000}"/>
    <cellStyle name="20% - Accent3 2 8" xfId="205" xr:uid="{00000000-0005-0000-0000-000090000000}"/>
    <cellStyle name="20% - Accent3 2 9" xfId="206" xr:uid="{00000000-0005-0000-0000-000091000000}"/>
    <cellStyle name="20% - Accent3 20" xfId="207" xr:uid="{00000000-0005-0000-0000-000092000000}"/>
    <cellStyle name="20% - Accent3 21" xfId="208" xr:uid="{00000000-0005-0000-0000-000093000000}"/>
    <cellStyle name="20% - Accent3 22" xfId="209" xr:uid="{00000000-0005-0000-0000-000094000000}"/>
    <cellStyle name="20% - Accent3 23" xfId="210" xr:uid="{00000000-0005-0000-0000-000095000000}"/>
    <cellStyle name="20% - Accent3 24" xfId="211" xr:uid="{00000000-0005-0000-0000-000096000000}"/>
    <cellStyle name="20% - Accent3 25" xfId="212" xr:uid="{00000000-0005-0000-0000-000097000000}"/>
    <cellStyle name="20% - Accent3 26" xfId="213" xr:uid="{00000000-0005-0000-0000-000098000000}"/>
    <cellStyle name="20% - Accent3 27" xfId="214" xr:uid="{00000000-0005-0000-0000-000099000000}"/>
    <cellStyle name="20% - Accent3 28" xfId="215" xr:uid="{00000000-0005-0000-0000-00009A000000}"/>
    <cellStyle name="20% - Accent3 3" xfId="216" xr:uid="{00000000-0005-0000-0000-00009B000000}"/>
    <cellStyle name="20% - Accent3 4" xfId="217" xr:uid="{00000000-0005-0000-0000-00009C000000}"/>
    <cellStyle name="20% - Accent3 5" xfId="218" xr:uid="{00000000-0005-0000-0000-00009D000000}"/>
    <cellStyle name="20% - Accent3 6" xfId="219" xr:uid="{00000000-0005-0000-0000-00009E000000}"/>
    <cellStyle name="20% - Accent3 7" xfId="220" xr:uid="{00000000-0005-0000-0000-00009F000000}"/>
    <cellStyle name="20% - Accent3 8" xfId="221" xr:uid="{00000000-0005-0000-0000-0000A0000000}"/>
    <cellStyle name="20% - Accent3 9" xfId="222" xr:uid="{00000000-0005-0000-0000-0000A1000000}"/>
    <cellStyle name="20% - Accent4" xfId="47" builtinId="42" customBuiltin="1"/>
    <cellStyle name="20% - Accent4 10" xfId="223" xr:uid="{00000000-0005-0000-0000-0000A3000000}"/>
    <cellStyle name="20% - Accent4 11" xfId="224" xr:uid="{00000000-0005-0000-0000-0000A4000000}"/>
    <cellStyle name="20% - Accent4 12" xfId="225" xr:uid="{00000000-0005-0000-0000-0000A5000000}"/>
    <cellStyle name="20% - Accent4 13" xfId="226" xr:uid="{00000000-0005-0000-0000-0000A6000000}"/>
    <cellStyle name="20% - Accent4 14" xfId="227" xr:uid="{00000000-0005-0000-0000-0000A7000000}"/>
    <cellStyle name="20% - Accent4 15" xfId="228" xr:uid="{00000000-0005-0000-0000-0000A8000000}"/>
    <cellStyle name="20% - Accent4 16" xfId="229" xr:uid="{00000000-0005-0000-0000-0000A9000000}"/>
    <cellStyle name="20% - Accent4 17" xfId="230" xr:uid="{00000000-0005-0000-0000-0000AA000000}"/>
    <cellStyle name="20% - Accent4 18" xfId="231" xr:uid="{00000000-0005-0000-0000-0000AB000000}"/>
    <cellStyle name="20% - Accent4 19" xfId="232" xr:uid="{00000000-0005-0000-0000-0000AC000000}"/>
    <cellStyle name="20% - Accent4 2" xfId="233" xr:uid="{00000000-0005-0000-0000-0000AD000000}"/>
    <cellStyle name="20% - Accent4 2 10" xfId="234" xr:uid="{00000000-0005-0000-0000-0000AE000000}"/>
    <cellStyle name="20% - Accent4 2 11" xfId="235" xr:uid="{00000000-0005-0000-0000-0000AF000000}"/>
    <cellStyle name="20% - Accent4 2 12" xfId="236" xr:uid="{00000000-0005-0000-0000-0000B0000000}"/>
    <cellStyle name="20% - Accent4 2 13" xfId="237" xr:uid="{00000000-0005-0000-0000-0000B1000000}"/>
    <cellStyle name="20% - Accent4 2 14" xfId="238" xr:uid="{00000000-0005-0000-0000-0000B2000000}"/>
    <cellStyle name="20% - Accent4 2 15" xfId="239" xr:uid="{00000000-0005-0000-0000-0000B3000000}"/>
    <cellStyle name="20% - Accent4 2 16" xfId="240" xr:uid="{00000000-0005-0000-0000-0000B4000000}"/>
    <cellStyle name="20% - Accent4 2 17" xfId="241" xr:uid="{00000000-0005-0000-0000-0000B5000000}"/>
    <cellStyle name="20% - Accent4 2 18" xfId="242" xr:uid="{00000000-0005-0000-0000-0000B6000000}"/>
    <cellStyle name="20% - Accent4 2 19" xfId="243" xr:uid="{00000000-0005-0000-0000-0000B7000000}"/>
    <cellStyle name="20% - Accent4 2 2" xfId="244" xr:uid="{00000000-0005-0000-0000-0000B8000000}"/>
    <cellStyle name="20% - Accent4 2 20" xfId="245" xr:uid="{00000000-0005-0000-0000-0000B9000000}"/>
    <cellStyle name="20% - Accent4 2 21" xfId="246" xr:uid="{00000000-0005-0000-0000-0000BA000000}"/>
    <cellStyle name="20% - Accent4 2 22" xfId="247" xr:uid="{00000000-0005-0000-0000-0000BB000000}"/>
    <cellStyle name="20% - Accent4 2 23" xfId="248" xr:uid="{00000000-0005-0000-0000-0000BC000000}"/>
    <cellStyle name="20% - Accent4 2 24" xfId="249" xr:uid="{00000000-0005-0000-0000-0000BD000000}"/>
    <cellStyle name="20% - Accent4 2 25" xfId="250" xr:uid="{00000000-0005-0000-0000-0000BE000000}"/>
    <cellStyle name="20% - Accent4 2 26" xfId="251" xr:uid="{00000000-0005-0000-0000-0000BF000000}"/>
    <cellStyle name="20% - Accent4 2 27" xfId="252" xr:uid="{00000000-0005-0000-0000-0000C0000000}"/>
    <cellStyle name="20% - Accent4 2 3" xfId="253" xr:uid="{00000000-0005-0000-0000-0000C1000000}"/>
    <cellStyle name="20% - Accent4 2 4" xfId="254" xr:uid="{00000000-0005-0000-0000-0000C2000000}"/>
    <cellStyle name="20% - Accent4 2 5" xfId="255" xr:uid="{00000000-0005-0000-0000-0000C3000000}"/>
    <cellStyle name="20% - Accent4 2 6" xfId="256" xr:uid="{00000000-0005-0000-0000-0000C4000000}"/>
    <cellStyle name="20% - Accent4 2 7" xfId="257" xr:uid="{00000000-0005-0000-0000-0000C5000000}"/>
    <cellStyle name="20% - Accent4 2 8" xfId="258" xr:uid="{00000000-0005-0000-0000-0000C6000000}"/>
    <cellStyle name="20% - Accent4 2 9" xfId="259" xr:uid="{00000000-0005-0000-0000-0000C7000000}"/>
    <cellStyle name="20% - Accent4 20" xfId="260" xr:uid="{00000000-0005-0000-0000-0000C8000000}"/>
    <cellStyle name="20% - Accent4 21" xfId="261" xr:uid="{00000000-0005-0000-0000-0000C9000000}"/>
    <cellStyle name="20% - Accent4 22" xfId="262" xr:uid="{00000000-0005-0000-0000-0000CA000000}"/>
    <cellStyle name="20% - Accent4 23" xfId="263" xr:uid="{00000000-0005-0000-0000-0000CB000000}"/>
    <cellStyle name="20% - Accent4 24" xfId="264" xr:uid="{00000000-0005-0000-0000-0000CC000000}"/>
    <cellStyle name="20% - Accent4 25" xfId="265" xr:uid="{00000000-0005-0000-0000-0000CD000000}"/>
    <cellStyle name="20% - Accent4 26" xfId="266" xr:uid="{00000000-0005-0000-0000-0000CE000000}"/>
    <cellStyle name="20% - Accent4 27" xfId="267" xr:uid="{00000000-0005-0000-0000-0000CF000000}"/>
    <cellStyle name="20% - Accent4 28" xfId="268" xr:uid="{00000000-0005-0000-0000-0000D0000000}"/>
    <cellStyle name="20% - Accent4 3" xfId="269" xr:uid="{00000000-0005-0000-0000-0000D1000000}"/>
    <cellStyle name="20% - Accent4 4" xfId="270" xr:uid="{00000000-0005-0000-0000-0000D2000000}"/>
    <cellStyle name="20% - Accent4 5" xfId="271" xr:uid="{00000000-0005-0000-0000-0000D3000000}"/>
    <cellStyle name="20% - Accent4 6" xfId="272" xr:uid="{00000000-0005-0000-0000-0000D4000000}"/>
    <cellStyle name="20% - Accent4 7" xfId="273" xr:uid="{00000000-0005-0000-0000-0000D5000000}"/>
    <cellStyle name="20% - Accent4 8" xfId="274" xr:uid="{00000000-0005-0000-0000-0000D6000000}"/>
    <cellStyle name="20% - Accent4 9" xfId="275" xr:uid="{00000000-0005-0000-0000-0000D7000000}"/>
    <cellStyle name="20% - Accent5" xfId="51" builtinId="46" customBuiltin="1"/>
    <cellStyle name="20% - Accent5 10" xfId="276" xr:uid="{00000000-0005-0000-0000-0000D9000000}"/>
    <cellStyle name="20% - Accent5 11" xfId="277" xr:uid="{00000000-0005-0000-0000-0000DA000000}"/>
    <cellStyle name="20% - Accent5 12" xfId="278" xr:uid="{00000000-0005-0000-0000-0000DB000000}"/>
    <cellStyle name="20% - Accent5 13" xfId="279" xr:uid="{00000000-0005-0000-0000-0000DC000000}"/>
    <cellStyle name="20% - Accent5 14" xfId="280" xr:uid="{00000000-0005-0000-0000-0000DD000000}"/>
    <cellStyle name="20% - Accent5 15" xfId="281" xr:uid="{00000000-0005-0000-0000-0000DE000000}"/>
    <cellStyle name="20% - Accent5 16" xfId="282" xr:uid="{00000000-0005-0000-0000-0000DF000000}"/>
    <cellStyle name="20% - Accent5 17" xfId="283" xr:uid="{00000000-0005-0000-0000-0000E0000000}"/>
    <cellStyle name="20% - Accent5 18" xfId="284" xr:uid="{00000000-0005-0000-0000-0000E1000000}"/>
    <cellStyle name="20% - Accent5 19" xfId="285" xr:uid="{00000000-0005-0000-0000-0000E2000000}"/>
    <cellStyle name="20% - Accent5 2" xfId="286" xr:uid="{00000000-0005-0000-0000-0000E3000000}"/>
    <cellStyle name="20% - Accent5 2 10" xfId="287" xr:uid="{00000000-0005-0000-0000-0000E4000000}"/>
    <cellStyle name="20% - Accent5 2 11" xfId="288" xr:uid="{00000000-0005-0000-0000-0000E5000000}"/>
    <cellStyle name="20% - Accent5 2 12" xfId="289" xr:uid="{00000000-0005-0000-0000-0000E6000000}"/>
    <cellStyle name="20% - Accent5 2 13" xfId="290" xr:uid="{00000000-0005-0000-0000-0000E7000000}"/>
    <cellStyle name="20% - Accent5 2 14" xfId="291" xr:uid="{00000000-0005-0000-0000-0000E8000000}"/>
    <cellStyle name="20% - Accent5 2 15" xfId="292" xr:uid="{00000000-0005-0000-0000-0000E9000000}"/>
    <cellStyle name="20% - Accent5 2 16" xfId="293" xr:uid="{00000000-0005-0000-0000-0000EA000000}"/>
    <cellStyle name="20% - Accent5 2 17" xfId="294" xr:uid="{00000000-0005-0000-0000-0000EB000000}"/>
    <cellStyle name="20% - Accent5 2 18" xfId="295" xr:uid="{00000000-0005-0000-0000-0000EC000000}"/>
    <cellStyle name="20% - Accent5 2 19" xfId="296" xr:uid="{00000000-0005-0000-0000-0000ED000000}"/>
    <cellStyle name="20% - Accent5 2 2" xfId="297" xr:uid="{00000000-0005-0000-0000-0000EE000000}"/>
    <cellStyle name="20% - Accent5 2 20" xfId="298" xr:uid="{00000000-0005-0000-0000-0000EF000000}"/>
    <cellStyle name="20% - Accent5 2 21" xfId="299" xr:uid="{00000000-0005-0000-0000-0000F0000000}"/>
    <cellStyle name="20% - Accent5 2 22" xfId="300" xr:uid="{00000000-0005-0000-0000-0000F1000000}"/>
    <cellStyle name="20% - Accent5 2 23" xfId="301" xr:uid="{00000000-0005-0000-0000-0000F2000000}"/>
    <cellStyle name="20% - Accent5 2 24" xfId="302" xr:uid="{00000000-0005-0000-0000-0000F3000000}"/>
    <cellStyle name="20% - Accent5 2 25" xfId="303" xr:uid="{00000000-0005-0000-0000-0000F4000000}"/>
    <cellStyle name="20% - Accent5 2 26" xfId="304" xr:uid="{00000000-0005-0000-0000-0000F5000000}"/>
    <cellStyle name="20% - Accent5 2 27" xfId="305" xr:uid="{00000000-0005-0000-0000-0000F6000000}"/>
    <cellStyle name="20% - Accent5 2 3" xfId="306" xr:uid="{00000000-0005-0000-0000-0000F7000000}"/>
    <cellStyle name="20% - Accent5 2 4" xfId="307" xr:uid="{00000000-0005-0000-0000-0000F8000000}"/>
    <cellStyle name="20% - Accent5 2 5" xfId="308" xr:uid="{00000000-0005-0000-0000-0000F9000000}"/>
    <cellStyle name="20% - Accent5 2 6" xfId="309" xr:uid="{00000000-0005-0000-0000-0000FA000000}"/>
    <cellStyle name="20% - Accent5 2 7" xfId="310" xr:uid="{00000000-0005-0000-0000-0000FB000000}"/>
    <cellStyle name="20% - Accent5 2 8" xfId="311" xr:uid="{00000000-0005-0000-0000-0000FC000000}"/>
    <cellStyle name="20% - Accent5 2 9" xfId="312" xr:uid="{00000000-0005-0000-0000-0000FD000000}"/>
    <cellStyle name="20% - Accent5 20" xfId="313" xr:uid="{00000000-0005-0000-0000-0000FE000000}"/>
    <cellStyle name="20% - Accent5 21" xfId="314" xr:uid="{00000000-0005-0000-0000-0000FF000000}"/>
    <cellStyle name="20% - Accent5 22" xfId="315" xr:uid="{00000000-0005-0000-0000-000000010000}"/>
    <cellStyle name="20% - Accent5 23" xfId="316" xr:uid="{00000000-0005-0000-0000-000001010000}"/>
    <cellStyle name="20% - Accent5 24" xfId="317" xr:uid="{00000000-0005-0000-0000-000002010000}"/>
    <cellStyle name="20% - Accent5 25" xfId="318" xr:uid="{00000000-0005-0000-0000-000003010000}"/>
    <cellStyle name="20% - Accent5 26" xfId="319" xr:uid="{00000000-0005-0000-0000-000004010000}"/>
    <cellStyle name="20% - Accent5 27" xfId="320" xr:uid="{00000000-0005-0000-0000-000005010000}"/>
    <cellStyle name="20% - Accent5 28" xfId="321" xr:uid="{00000000-0005-0000-0000-000006010000}"/>
    <cellStyle name="20% - Accent5 3" xfId="322" xr:uid="{00000000-0005-0000-0000-000007010000}"/>
    <cellStyle name="20% - Accent5 4" xfId="323" xr:uid="{00000000-0005-0000-0000-000008010000}"/>
    <cellStyle name="20% - Accent5 5" xfId="324" xr:uid="{00000000-0005-0000-0000-000009010000}"/>
    <cellStyle name="20% - Accent5 6" xfId="325" xr:uid="{00000000-0005-0000-0000-00000A010000}"/>
    <cellStyle name="20% - Accent5 7" xfId="326" xr:uid="{00000000-0005-0000-0000-00000B010000}"/>
    <cellStyle name="20% - Accent5 8" xfId="327" xr:uid="{00000000-0005-0000-0000-00000C010000}"/>
    <cellStyle name="20% - Accent5 9" xfId="328" xr:uid="{00000000-0005-0000-0000-00000D010000}"/>
    <cellStyle name="20% - Accent6" xfId="55" builtinId="50" customBuiltin="1"/>
    <cellStyle name="20% - Accent6 10" xfId="329" xr:uid="{00000000-0005-0000-0000-00000F010000}"/>
    <cellStyle name="20% - Accent6 11" xfId="330" xr:uid="{00000000-0005-0000-0000-000010010000}"/>
    <cellStyle name="20% - Accent6 12" xfId="331" xr:uid="{00000000-0005-0000-0000-000011010000}"/>
    <cellStyle name="20% - Accent6 13" xfId="332" xr:uid="{00000000-0005-0000-0000-000012010000}"/>
    <cellStyle name="20% - Accent6 14" xfId="333" xr:uid="{00000000-0005-0000-0000-000013010000}"/>
    <cellStyle name="20% - Accent6 15" xfId="334" xr:uid="{00000000-0005-0000-0000-000014010000}"/>
    <cellStyle name="20% - Accent6 16" xfId="335" xr:uid="{00000000-0005-0000-0000-000015010000}"/>
    <cellStyle name="20% - Accent6 17" xfId="336" xr:uid="{00000000-0005-0000-0000-000016010000}"/>
    <cellStyle name="20% - Accent6 18" xfId="337" xr:uid="{00000000-0005-0000-0000-000017010000}"/>
    <cellStyle name="20% - Accent6 19" xfId="338" xr:uid="{00000000-0005-0000-0000-000018010000}"/>
    <cellStyle name="20% - Accent6 2" xfId="339" xr:uid="{00000000-0005-0000-0000-000019010000}"/>
    <cellStyle name="20% - Accent6 2 10" xfId="340" xr:uid="{00000000-0005-0000-0000-00001A010000}"/>
    <cellStyle name="20% - Accent6 2 11" xfId="341" xr:uid="{00000000-0005-0000-0000-00001B010000}"/>
    <cellStyle name="20% - Accent6 2 12" xfId="342" xr:uid="{00000000-0005-0000-0000-00001C010000}"/>
    <cellStyle name="20% - Accent6 2 13" xfId="343" xr:uid="{00000000-0005-0000-0000-00001D010000}"/>
    <cellStyle name="20% - Accent6 2 14" xfId="344" xr:uid="{00000000-0005-0000-0000-00001E010000}"/>
    <cellStyle name="20% - Accent6 2 15" xfId="345" xr:uid="{00000000-0005-0000-0000-00001F010000}"/>
    <cellStyle name="20% - Accent6 2 16" xfId="346" xr:uid="{00000000-0005-0000-0000-000020010000}"/>
    <cellStyle name="20% - Accent6 2 17" xfId="347" xr:uid="{00000000-0005-0000-0000-000021010000}"/>
    <cellStyle name="20% - Accent6 2 18" xfId="348" xr:uid="{00000000-0005-0000-0000-000022010000}"/>
    <cellStyle name="20% - Accent6 2 19" xfId="349" xr:uid="{00000000-0005-0000-0000-000023010000}"/>
    <cellStyle name="20% - Accent6 2 2" xfId="350" xr:uid="{00000000-0005-0000-0000-000024010000}"/>
    <cellStyle name="20% - Accent6 2 20" xfId="351" xr:uid="{00000000-0005-0000-0000-000025010000}"/>
    <cellStyle name="20% - Accent6 2 21" xfId="352" xr:uid="{00000000-0005-0000-0000-000026010000}"/>
    <cellStyle name="20% - Accent6 2 22" xfId="353" xr:uid="{00000000-0005-0000-0000-000027010000}"/>
    <cellStyle name="20% - Accent6 2 23" xfId="354" xr:uid="{00000000-0005-0000-0000-000028010000}"/>
    <cellStyle name="20% - Accent6 2 24" xfId="355" xr:uid="{00000000-0005-0000-0000-000029010000}"/>
    <cellStyle name="20% - Accent6 2 25" xfId="356" xr:uid="{00000000-0005-0000-0000-00002A010000}"/>
    <cellStyle name="20% - Accent6 2 26" xfId="357" xr:uid="{00000000-0005-0000-0000-00002B010000}"/>
    <cellStyle name="20% - Accent6 2 27" xfId="358" xr:uid="{00000000-0005-0000-0000-00002C010000}"/>
    <cellStyle name="20% - Accent6 2 3" xfId="359" xr:uid="{00000000-0005-0000-0000-00002D010000}"/>
    <cellStyle name="20% - Accent6 2 4" xfId="360" xr:uid="{00000000-0005-0000-0000-00002E010000}"/>
    <cellStyle name="20% - Accent6 2 5" xfId="361" xr:uid="{00000000-0005-0000-0000-00002F010000}"/>
    <cellStyle name="20% - Accent6 2 6" xfId="362" xr:uid="{00000000-0005-0000-0000-000030010000}"/>
    <cellStyle name="20% - Accent6 2 7" xfId="363" xr:uid="{00000000-0005-0000-0000-000031010000}"/>
    <cellStyle name="20% - Accent6 2 8" xfId="364" xr:uid="{00000000-0005-0000-0000-000032010000}"/>
    <cellStyle name="20% - Accent6 2 9" xfId="365" xr:uid="{00000000-0005-0000-0000-000033010000}"/>
    <cellStyle name="20% - Accent6 20" xfId="366" xr:uid="{00000000-0005-0000-0000-000034010000}"/>
    <cellStyle name="20% - Accent6 21" xfId="367" xr:uid="{00000000-0005-0000-0000-000035010000}"/>
    <cellStyle name="20% - Accent6 22" xfId="368" xr:uid="{00000000-0005-0000-0000-000036010000}"/>
    <cellStyle name="20% - Accent6 23" xfId="369" xr:uid="{00000000-0005-0000-0000-000037010000}"/>
    <cellStyle name="20% - Accent6 24" xfId="370" xr:uid="{00000000-0005-0000-0000-000038010000}"/>
    <cellStyle name="20% - Accent6 25" xfId="371" xr:uid="{00000000-0005-0000-0000-000039010000}"/>
    <cellStyle name="20% - Accent6 26" xfId="372" xr:uid="{00000000-0005-0000-0000-00003A010000}"/>
    <cellStyle name="20% - Accent6 27" xfId="373" xr:uid="{00000000-0005-0000-0000-00003B010000}"/>
    <cellStyle name="20% - Accent6 28" xfId="374" xr:uid="{00000000-0005-0000-0000-00003C010000}"/>
    <cellStyle name="20% - Accent6 3" xfId="375" xr:uid="{00000000-0005-0000-0000-00003D010000}"/>
    <cellStyle name="20% - Accent6 4" xfId="376" xr:uid="{00000000-0005-0000-0000-00003E010000}"/>
    <cellStyle name="20% - Accent6 5" xfId="377" xr:uid="{00000000-0005-0000-0000-00003F010000}"/>
    <cellStyle name="20% - Accent6 6" xfId="378" xr:uid="{00000000-0005-0000-0000-000040010000}"/>
    <cellStyle name="20% - Accent6 7" xfId="379" xr:uid="{00000000-0005-0000-0000-000041010000}"/>
    <cellStyle name="20% - Accent6 8" xfId="380" xr:uid="{00000000-0005-0000-0000-000042010000}"/>
    <cellStyle name="20% - Accent6 9" xfId="381" xr:uid="{00000000-0005-0000-0000-000043010000}"/>
    <cellStyle name="40% - Accent1" xfId="36" builtinId="31" customBuiltin="1"/>
    <cellStyle name="40% - Accent1 10" xfId="382" xr:uid="{00000000-0005-0000-0000-000045010000}"/>
    <cellStyle name="40% - Accent1 11" xfId="383" xr:uid="{00000000-0005-0000-0000-000046010000}"/>
    <cellStyle name="40% - Accent1 12" xfId="384" xr:uid="{00000000-0005-0000-0000-000047010000}"/>
    <cellStyle name="40% - Accent1 13" xfId="385" xr:uid="{00000000-0005-0000-0000-000048010000}"/>
    <cellStyle name="40% - Accent1 14" xfId="386" xr:uid="{00000000-0005-0000-0000-000049010000}"/>
    <cellStyle name="40% - Accent1 15" xfId="387" xr:uid="{00000000-0005-0000-0000-00004A010000}"/>
    <cellStyle name="40% - Accent1 16" xfId="388" xr:uid="{00000000-0005-0000-0000-00004B010000}"/>
    <cellStyle name="40% - Accent1 17" xfId="389" xr:uid="{00000000-0005-0000-0000-00004C010000}"/>
    <cellStyle name="40% - Accent1 18" xfId="390" xr:uid="{00000000-0005-0000-0000-00004D010000}"/>
    <cellStyle name="40% - Accent1 19" xfId="391" xr:uid="{00000000-0005-0000-0000-00004E010000}"/>
    <cellStyle name="40% - Accent1 2" xfId="392" xr:uid="{00000000-0005-0000-0000-00004F010000}"/>
    <cellStyle name="40% - Accent1 2 10" xfId="393" xr:uid="{00000000-0005-0000-0000-000050010000}"/>
    <cellStyle name="40% - Accent1 2 11" xfId="394" xr:uid="{00000000-0005-0000-0000-000051010000}"/>
    <cellStyle name="40% - Accent1 2 12" xfId="395" xr:uid="{00000000-0005-0000-0000-000052010000}"/>
    <cellStyle name="40% - Accent1 2 13" xfId="396" xr:uid="{00000000-0005-0000-0000-000053010000}"/>
    <cellStyle name="40% - Accent1 2 14" xfId="397" xr:uid="{00000000-0005-0000-0000-000054010000}"/>
    <cellStyle name="40% - Accent1 2 15" xfId="398" xr:uid="{00000000-0005-0000-0000-000055010000}"/>
    <cellStyle name="40% - Accent1 2 16" xfId="399" xr:uid="{00000000-0005-0000-0000-000056010000}"/>
    <cellStyle name="40% - Accent1 2 17" xfId="400" xr:uid="{00000000-0005-0000-0000-000057010000}"/>
    <cellStyle name="40% - Accent1 2 18" xfId="401" xr:uid="{00000000-0005-0000-0000-000058010000}"/>
    <cellStyle name="40% - Accent1 2 19" xfId="402" xr:uid="{00000000-0005-0000-0000-000059010000}"/>
    <cellStyle name="40% - Accent1 2 2" xfId="403" xr:uid="{00000000-0005-0000-0000-00005A010000}"/>
    <cellStyle name="40% - Accent1 2 20" xfId="404" xr:uid="{00000000-0005-0000-0000-00005B010000}"/>
    <cellStyle name="40% - Accent1 2 21" xfId="405" xr:uid="{00000000-0005-0000-0000-00005C010000}"/>
    <cellStyle name="40% - Accent1 2 22" xfId="406" xr:uid="{00000000-0005-0000-0000-00005D010000}"/>
    <cellStyle name="40% - Accent1 2 23" xfId="407" xr:uid="{00000000-0005-0000-0000-00005E010000}"/>
    <cellStyle name="40% - Accent1 2 24" xfId="408" xr:uid="{00000000-0005-0000-0000-00005F010000}"/>
    <cellStyle name="40% - Accent1 2 25" xfId="409" xr:uid="{00000000-0005-0000-0000-000060010000}"/>
    <cellStyle name="40% - Accent1 2 26" xfId="410" xr:uid="{00000000-0005-0000-0000-000061010000}"/>
    <cellStyle name="40% - Accent1 2 27" xfId="411" xr:uid="{00000000-0005-0000-0000-000062010000}"/>
    <cellStyle name="40% - Accent1 2 3" xfId="412" xr:uid="{00000000-0005-0000-0000-000063010000}"/>
    <cellStyle name="40% - Accent1 2 4" xfId="413" xr:uid="{00000000-0005-0000-0000-000064010000}"/>
    <cellStyle name="40% - Accent1 2 5" xfId="414" xr:uid="{00000000-0005-0000-0000-000065010000}"/>
    <cellStyle name="40% - Accent1 2 6" xfId="415" xr:uid="{00000000-0005-0000-0000-000066010000}"/>
    <cellStyle name="40% - Accent1 2 7" xfId="416" xr:uid="{00000000-0005-0000-0000-000067010000}"/>
    <cellStyle name="40% - Accent1 2 8" xfId="417" xr:uid="{00000000-0005-0000-0000-000068010000}"/>
    <cellStyle name="40% - Accent1 2 9" xfId="418" xr:uid="{00000000-0005-0000-0000-000069010000}"/>
    <cellStyle name="40% - Accent1 20" xfId="419" xr:uid="{00000000-0005-0000-0000-00006A010000}"/>
    <cellStyle name="40% - Accent1 21" xfId="420" xr:uid="{00000000-0005-0000-0000-00006B010000}"/>
    <cellStyle name="40% - Accent1 22" xfId="421" xr:uid="{00000000-0005-0000-0000-00006C010000}"/>
    <cellStyle name="40% - Accent1 23" xfId="422" xr:uid="{00000000-0005-0000-0000-00006D010000}"/>
    <cellStyle name="40% - Accent1 24" xfId="423" xr:uid="{00000000-0005-0000-0000-00006E010000}"/>
    <cellStyle name="40% - Accent1 25" xfId="424" xr:uid="{00000000-0005-0000-0000-00006F010000}"/>
    <cellStyle name="40% - Accent1 26" xfId="425" xr:uid="{00000000-0005-0000-0000-000070010000}"/>
    <cellStyle name="40% - Accent1 27" xfId="426" xr:uid="{00000000-0005-0000-0000-000071010000}"/>
    <cellStyle name="40% - Accent1 28" xfId="427" xr:uid="{00000000-0005-0000-0000-000072010000}"/>
    <cellStyle name="40% - Accent1 3" xfId="428" xr:uid="{00000000-0005-0000-0000-000073010000}"/>
    <cellStyle name="40% - Accent1 4" xfId="429" xr:uid="{00000000-0005-0000-0000-000074010000}"/>
    <cellStyle name="40% - Accent1 5" xfId="430" xr:uid="{00000000-0005-0000-0000-000075010000}"/>
    <cellStyle name="40% - Accent1 6" xfId="431" xr:uid="{00000000-0005-0000-0000-000076010000}"/>
    <cellStyle name="40% - Accent1 7" xfId="432" xr:uid="{00000000-0005-0000-0000-000077010000}"/>
    <cellStyle name="40% - Accent1 8" xfId="433" xr:uid="{00000000-0005-0000-0000-000078010000}"/>
    <cellStyle name="40% - Accent1 9" xfId="434" xr:uid="{00000000-0005-0000-0000-000079010000}"/>
    <cellStyle name="40% - Accent2" xfId="40" builtinId="35" customBuiltin="1"/>
    <cellStyle name="40% - Accent2 10" xfId="435" xr:uid="{00000000-0005-0000-0000-00007B010000}"/>
    <cellStyle name="40% - Accent2 11" xfId="436" xr:uid="{00000000-0005-0000-0000-00007C010000}"/>
    <cellStyle name="40% - Accent2 12" xfId="437" xr:uid="{00000000-0005-0000-0000-00007D010000}"/>
    <cellStyle name="40% - Accent2 13" xfId="438" xr:uid="{00000000-0005-0000-0000-00007E010000}"/>
    <cellStyle name="40% - Accent2 14" xfId="439" xr:uid="{00000000-0005-0000-0000-00007F010000}"/>
    <cellStyle name="40% - Accent2 15" xfId="440" xr:uid="{00000000-0005-0000-0000-000080010000}"/>
    <cellStyle name="40% - Accent2 16" xfId="441" xr:uid="{00000000-0005-0000-0000-000081010000}"/>
    <cellStyle name="40% - Accent2 17" xfId="442" xr:uid="{00000000-0005-0000-0000-000082010000}"/>
    <cellStyle name="40% - Accent2 18" xfId="443" xr:uid="{00000000-0005-0000-0000-000083010000}"/>
    <cellStyle name="40% - Accent2 19" xfId="444" xr:uid="{00000000-0005-0000-0000-000084010000}"/>
    <cellStyle name="40% - Accent2 2" xfId="445" xr:uid="{00000000-0005-0000-0000-000085010000}"/>
    <cellStyle name="40% - Accent2 2 10" xfId="446" xr:uid="{00000000-0005-0000-0000-000086010000}"/>
    <cellStyle name="40% - Accent2 2 11" xfId="447" xr:uid="{00000000-0005-0000-0000-000087010000}"/>
    <cellStyle name="40% - Accent2 2 12" xfId="448" xr:uid="{00000000-0005-0000-0000-000088010000}"/>
    <cellStyle name="40% - Accent2 2 13" xfId="449" xr:uid="{00000000-0005-0000-0000-000089010000}"/>
    <cellStyle name="40% - Accent2 2 14" xfId="450" xr:uid="{00000000-0005-0000-0000-00008A010000}"/>
    <cellStyle name="40% - Accent2 2 15" xfId="451" xr:uid="{00000000-0005-0000-0000-00008B010000}"/>
    <cellStyle name="40% - Accent2 2 16" xfId="452" xr:uid="{00000000-0005-0000-0000-00008C010000}"/>
    <cellStyle name="40% - Accent2 2 17" xfId="453" xr:uid="{00000000-0005-0000-0000-00008D010000}"/>
    <cellStyle name="40% - Accent2 2 18" xfId="454" xr:uid="{00000000-0005-0000-0000-00008E010000}"/>
    <cellStyle name="40% - Accent2 2 19" xfId="455" xr:uid="{00000000-0005-0000-0000-00008F010000}"/>
    <cellStyle name="40% - Accent2 2 2" xfId="456" xr:uid="{00000000-0005-0000-0000-000090010000}"/>
    <cellStyle name="40% - Accent2 2 20" xfId="457" xr:uid="{00000000-0005-0000-0000-000091010000}"/>
    <cellStyle name="40% - Accent2 2 21" xfId="458" xr:uid="{00000000-0005-0000-0000-000092010000}"/>
    <cellStyle name="40% - Accent2 2 22" xfId="459" xr:uid="{00000000-0005-0000-0000-000093010000}"/>
    <cellStyle name="40% - Accent2 2 23" xfId="460" xr:uid="{00000000-0005-0000-0000-000094010000}"/>
    <cellStyle name="40% - Accent2 2 24" xfId="461" xr:uid="{00000000-0005-0000-0000-000095010000}"/>
    <cellStyle name="40% - Accent2 2 25" xfId="462" xr:uid="{00000000-0005-0000-0000-000096010000}"/>
    <cellStyle name="40% - Accent2 2 26" xfId="463" xr:uid="{00000000-0005-0000-0000-000097010000}"/>
    <cellStyle name="40% - Accent2 2 27" xfId="464" xr:uid="{00000000-0005-0000-0000-000098010000}"/>
    <cellStyle name="40% - Accent2 2 3" xfId="465" xr:uid="{00000000-0005-0000-0000-000099010000}"/>
    <cellStyle name="40% - Accent2 2 4" xfId="466" xr:uid="{00000000-0005-0000-0000-00009A010000}"/>
    <cellStyle name="40% - Accent2 2 5" xfId="467" xr:uid="{00000000-0005-0000-0000-00009B010000}"/>
    <cellStyle name="40% - Accent2 2 6" xfId="468" xr:uid="{00000000-0005-0000-0000-00009C010000}"/>
    <cellStyle name="40% - Accent2 2 7" xfId="469" xr:uid="{00000000-0005-0000-0000-00009D010000}"/>
    <cellStyle name="40% - Accent2 2 8" xfId="470" xr:uid="{00000000-0005-0000-0000-00009E010000}"/>
    <cellStyle name="40% - Accent2 2 9" xfId="471" xr:uid="{00000000-0005-0000-0000-00009F010000}"/>
    <cellStyle name="40% - Accent2 20" xfId="472" xr:uid="{00000000-0005-0000-0000-0000A0010000}"/>
    <cellStyle name="40% - Accent2 21" xfId="473" xr:uid="{00000000-0005-0000-0000-0000A1010000}"/>
    <cellStyle name="40% - Accent2 22" xfId="474" xr:uid="{00000000-0005-0000-0000-0000A2010000}"/>
    <cellStyle name="40% - Accent2 23" xfId="475" xr:uid="{00000000-0005-0000-0000-0000A3010000}"/>
    <cellStyle name="40% - Accent2 24" xfId="476" xr:uid="{00000000-0005-0000-0000-0000A4010000}"/>
    <cellStyle name="40% - Accent2 25" xfId="477" xr:uid="{00000000-0005-0000-0000-0000A5010000}"/>
    <cellStyle name="40% - Accent2 26" xfId="478" xr:uid="{00000000-0005-0000-0000-0000A6010000}"/>
    <cellStyle name="40% - Accent2 27" xfId="479" xr:uid="{00000000-0005-0000-0000-0000A7010000}"/>
    <cellStyle name="40% - Accent2 28" xfId="480" xr:uid="{00000000-0005-0000-0000-0000A8010000}"/>
    <cellStyle name="40% - Accent2 3" xfId="481" xr:uid="{00000000-0005-0000-0000-0000A9010000}"/>
    <cellStyle name="40% - Accent2 4" xfId="482" xr:uid="{00000000-0005-0000-0000-0000AA010000}"/>
    <cellStyle name="40% - Accent2 5" xfId="483" xr:uid="{00000000-0005-0000-0000-0000AB010000}"/>
    <cellStyle name="40% - Accent2 6" xfId="484" xr:uid="{00000000-0005-0000-0000-0000AC010000}"/>
    <cellStyle name="40% - Accent2 7" xfId="485" xr:uid="{00000000-0005-0000-0000-0000AD010000}"/>
    <cellStyle name="40% - Accent2 8" xfId="486" xr:uid="{00000000-0005-0000-0000-0000AE010000}"/>
    <cellStyle name="40% - Accent2 9" xfId="487" xr:uid="{00000000-0005-0000-0000-0000AF010000}"/>
    <cellStyle name="40% - Accent3" xfId="44" builtinId="39" customBuiltin="1"/>
    <cellStyle name="40% - Accent3 10" xfId="488" xr:uid="{00000000-0005-0000-0000-0000B1010000}"/>
    <cellStyle name="40% - Accent3 11" xfId="489" xr:uid="{00000000-0005-0000-0000-0000B2010000}"/>
    <cellStyle name="40% - Accent3 12" xfId="490" xr:uid="{00000000-0005-0000-0000-0000B3010000}"/>
    <cellStyle name="40% - Accent3 13" xfId="491" xr:uid="{00000000-0005-0000-0000-0000B4010000}"/>
    <cellStyle name="40% - Accent3 14" xfId="492" xr:uid="{00000000-0005-0000-0000-0000B5010000}"/>
    <cellStyle name="40% - Accent3 15" xfId="493" xr:uid="{00000000-0005-0000-0000-0000B6010000}"/>
    <cellStyle name="40% - Accent3 16" xfId="494" xr:uid="{00000000-0005-0000-0000-0000B7010000}"/>
    <cellStyle name="40% - Accent3 17" xfId="495" xr:uid="{00000000-0005-0000-0000-0000B8010000}"/>
    <cellStyle name="40% - Accent3 18" xfId="496" xr:uid="{00000000-0005-0000-0000-0000B9010000}"/>
    <cellStyle name="40% - Accent3 19" xfId="497" xr:uid="{00000000-0005-0000-0000-0000BA010000}"/>
    <cellStyle name="40% - Accent3 2" xfId="498" xr:uid="{00000000-0005-0000-0000-0000BB010000}"/>
    <cellStyle name="40% - Accent3 2 10" xfId="499" xr:uid="{00000000-0005-0000-0000-0000BC010000}"/>
    <cellStyle name="40% - Accent3 2 11" xfId="500" xr:uid="{00000000-0005-0000-0000-0000BD010000}"/>
    <cellStyle name="40% - Accent3 2 12" xfId="501" xr:uid="{00000000-0005-0000-0000-0000BE010000}"/>
    <cellStyle name="40% - Accent3 2 13" xfId="502" xr:uid="{00000000-0005-0000-0000-0000BF010000}"/>
    <cellStyle name="40% - Accent3 2 14" xfId="503" xr:uid="{00000000-0005-0000-0000-0000C0010000}"/>
    <cellStyle name="40% - Accent3 2 15" xfId="504" xr:uid="{00000000-0005-0000-0000-0000C1010000}"/>
    <cellStyle name="40% - Accent3 2 16" xfId="505" xr:uid="{00000000-0005-0000-0000-0000C2010000}"/>
    <cellStyle name="40% - Accent3 2 17" xfId="506" xr:uid="{00000000-0005-0000-0000-0000C3010000}"/>
    <cellStyle name="40% - Accent3 2 18" xfId="507" xr:uid="{00000000-0005-0000-0000-0000C4010000}"/>
    <cellStyle name="40% - Accent3 2 19" xfId="508" xr:uid="{00000000-0005-0000-0000-0000C5010000}"/>
    <cellStyle name="40% - Accent3 2 2" xfId="509" xr:uid="{00000000-0005-0000-0000-0000C6010000}"/>
    <cellStyle name="40% - Accent3 2 20" xfId="510" xr:uid="{00000000-0005-0000-0000-0000C7010000}"/>
    <cellStyle name="40% - Accent3 2 21" xfId="511" xr:uid="{00000000-0005-0000-0000-0000C8010000}"/>
    <cellStyle name="40% - Accent3 2 22" xfId="512" xr:uid="{00000000-0005-0000-0000-0000C9010000}"/>
    <cellStyle name="40% - Accent3 2 23" xfId="513" xr:uid="{00000000-0005-0000-0000-0000CA010000}"/>
    <cellStyle name="40% - Accent3 2 24" xfId="514" xr:uid="{00000000-0005-0000-0000-0000CB010000}"/>
    <cellStyle name="40% - Accent3 2 25" xfId="515" xr:uid="{00000000-0005-0000-0000-0000CC010000}"/>
    <cellStyle name="40% - Accent3 2 26" xfId="516" xr:uid="{00000000-0005-0000-0000-0000CD010000}"/>
    <cellStyle name="40% - Accent3 2 27" xfId="517" xr:uid="{00000000-0005-0000-0000-0000CE010000}"/>
    <cellStyle name="40% - Accent3 2 3" xfId="518" xr:uid="{00000000-0005-0000-0000-0000CF010000}"/>
    <cellStyle name="40% - Accent3 2 4" xfId="519" xr:uid="{00000000-0005-0000-0000-0000D0010000}"/>
    <cellStyle name="40% - Accent3 2 5" xfId="520" xr:uid="{00000000-0005-0000-0000-0000D1010000}"/>
    <cellStyle name="40% - Accent3 2 6" xfId="521" xr:uid="{00000000-0005-0000-0000-0000D2010000}"/>
    <cellStyle name="40% - Accent3 2 7" xfId="522" xr:uid="{00000000-0005-0000-0000-0000D3010000}"/>
    <cellStyle name="40% - Accent3 2 8" xfId="523" xr:uid="{00000000-0005-0000-0000-0000D4010000}"/>
    <cellStyle name="40% - Accent3 2 9" xfId="524" xr:uid="{00000000-0005-0000-0000-0000D5010000}"/>
    <cellStyle name="40% - Accent3 20" xfId="525" xr:uid="{00000000-0005-0000-0000-0000D6010000}"/>
    <cellStyle name="40% - Accent3 21" xfId="526" xr:uid="{00000000-0005-0000-0000-0000D7010000}"/>
    <cellStyle name="40% - Accent3 22" xfId="527" xr:uid="{00000000-0005-0000-0000-0000D8010000}"/>
    <cellStyle name="40% - Accent3 23" xfId="528" xr:uid="{00000000-0005-0000-0000-0000D9010000}"/>
    <cellStyle name="40% - Accent3 24" xfId="529" xr:uid="{00000000-0005-0000-0000-0000DA010000}"/>
    <cellStyle name="40% - Accent3 25" xfId="530" xr:uid="{00000000-0005-0000-0000-0000DB010000}"/>
    <cellStyle name="40% - Accent3 26" xfId="531" xr:uid="{00000000-0005-0000-0000-0000DC010000}"/>
    <cellStyle name="40% - Accent3 27" xfId="532" xr:uid="{00000000-0005-0000-0000-0000DD010000}"/>
    <cellStyle name="40% - Accent3 28" xfId="533" xr:uid="{00000000-0005-0000-0000-0000DE010000}"/>
    <cellStyle name="40% - Accent3 3" xfId="534" xr:uid="{00000000-0005-0000-0000-0000DF010000}"/>
    <cellStyle name="40% - Accent3 4" xfId="535" xr:uid="{00000000-0005-0000-0000-0000E0010000}"/>
    <cellStyle name="40% - Accent3 5" xfId="536" xr:uid="{00000000-0005-0000-0000-0000E1010000}"/>
    <cellStyle name="40% - Accent3 6" xfId="537" xr:uid="{00000000-0005-0000-0000-0000E2010000}"/>
    <cellStyle name="40% - Accent3 7" xfId="538" xr:uid="{00000000-0005-0000-0000-0000E3010000}"/>
    <cellStyle name="40% - Accent3 8" xfId="539" xr:uid="{00000000-0005-0000-0000-0000E4010000}"/>
    <cellStyle name="40% - Accent3 9" xfId="540" xr:uid="{00000000-0005-0000-0000-0000E5010000}"/>
    <cellStyle name="40% - Accent4" xfId="48" builtinId="43" customBuiltin="1"/>
    <cellStyle name="40% - Accent4 10" xfId="541" xr:uid="{00000000-0005-0000-0000-0000E7010000}"/>
    <cellStyle name="40% - Accent4 11" xfId="542" xr:uid="{00000000-0005-0000-0000-0000E8010000}"/>
    <cellStyle name="40% - Accent4 12" xfId="543" xr:uid="{00000000-0005-0000-0000-0000E9010000}"/>
    <cellStyle name="40% - Accent4 13" xfId="544" xr:uid="{00000000-0005-0000-0000-0000EA010000}"/>
    <cellStyle name="40% - Accent4 14" xfId="545" xr:uid="{00000000-0005-0000-0000-0000EB010000}"/>
    <cellStyle name="40% - Accent4 15" xfId="546" xr:uid="{00000000-0005-0000-0000-0000EC010000}"/>
    <cellStyle name="40% - Accent4 16" xfId="547" xr:uid="{00000000-0005-0000-0000-0000ED010000}"/>
    <cellStyle name="40% - Accent4 17" xfId="548" xr:uid="{00000000-0005-0000-0000-0000EE010000}"/>
    <cellStyle name="40% - Accent4 18" xfId="549" xr:uid="{00000000-0005-0000-0000-0000EF010000}"/>
    <cellStyle name="40% - Accent4 19" xfId="550" xr:uid="{00000000-0005-0000-0000-0000F0010000}"/>
    <cellStyle name="40% - Accent4 2" xfId="551" xr:uid="{00000000-0005-0000-0000-0000F1010000}"/>
    <cellStyle name="40% - Accent4 2 10" xfId="552" xr:uid="{00000000-0005-0000-0000-0000F2010000}"/>
    <cellStyle name="40% - Accent4 2 11" xfId="553" xr:uid="{00000000-0005-0000-0000-0000F3010000}"/>
    <cellStyle name="40% - Accent4 2 12" xfId="554" xr:uid="{00000000-0005-0000-0000-0000F4010000}"/>
    <cellStyle name="40% - Accent4 2 13" xfId="555" xr:uid="{00000000-0005-0000-0000-0000F5010000}"/>
    <cellStyle name="40% - Accent4 2 14" xfId="556" xr:uid="{00000000-0005-0000-0000-0000F6010000}"/>
    <cellStyle name="40% - Accent4 2 15" xfId="557" xr:uid="{00000000-0005-0000-0000-0000F7010000}"/>
    <cellStyle name="40% - Accent4 2 16" xfId="558" xr:uid="{00000000-0005-0000-0000-0000F8010000}"/>
    <cellStyle name="40% - Accent4 2 17" xfId="559" xr:uid="{00000000-0005-0000-0000-0000F9010000}"/>
    <cellStyle name="40% - Accent4 2 18" xfId="560" xr:uid="{00000000-0005-0000-0000-0000FA010000}"/>
    <cellStyle name="40% - Accent4 2 19" xfId="561" xr:uid="{00000000-0005-0000-0000-0000FB010000}"/>
    <cellStyle name="40% - Accent4 2 2" xfId="562" xr:uid="{00000000-0005-0000-0000-0000FC010000}"/>
    <cellStyle name="40% - Accent4 2 20" xfId="563" xr:uid="{00000000-0005-0000-0000-0000FD010000}"/>
    <cellStyle name="40% - Accent4 2 21" xfId="564" xr:uid="{00000000-0005-0000-0000-0000FE010000}"/>
    <cellStyle name="40% - Accent4 2 22" xfId="565" xr:uid="{00000000-0005-0000-0000-0000FF010000}"/>
    <cellStyle name="40% - Accent4 2 23" xfId="566" xr:uid="{00000000-0005-0000-0000-000000020000}"/>
    <cellStyle name="40% - Accent4 2 24" xfId="567" xr:uid="{00000000-0005-0000-0000-000001020000}"/>
    <cellStyle name="40% - Accent4 2 25" xfId="568" xr:uid="{00000000-0005-0000-0000-000002020000}"/>
    <cellStyle name="40% - Accent4 2 26" xfId="569" xr:uid="{00000000-0005-0000-0000-000003020000}"/>
    <cellStyle name="40% - Accent4 2 27" xfId="570" xr:uid="{00000000-0005-0000-0000-000004020000}"/>
    <cellStyle name="40% - Accent4 2 3" xfId="571" xr:uid="{00000000-0005-0000-0000-000005020000}"/>
    <cellStyle name="40% - Accent4 2 4" xfId="572" xr:uid="{00000000-0005-0000-0000-000006020000}"/>
    <cellStyle name="40% - Accent4 2 5" xfId="573" xr:uid="{00000000-0005-0000-0000-000007020000}"/>
    <cellStyle name="40% - Accent4 2 6" xfId="574" xr:uid="{00000000-0005-0000-0000-000008020000}"/>
    <cellStyle name="40% - Accent4 2 7" xfId="575" xr:uid="{00000000-0005-0000-0000-000009020000}"/>
    <cellStyle name="40% - Accent4 2 8" xfId="576" xr:uid="{00000000-0005-0000-0000-00000A020000}"/>
    <cellStyle name="40% - Accent4 2 9" xfId="577" xr:uid="{00000000-0005-0000-0000-00000B020000}"/>
    <cellStyle name="40% - Accent4 20" xfId="578" xr:uid="{00000000-0005-0000-0000-00000C020000}"/>
    <cellStyle name="40% - Accent4 21" xfId="579" xr:uid="{00000000-0005-0000-0000-00000D020000}"/>
    <cellStyle name="40% - Accent4 22" xfId="580" xr:uid="{00000000-0005-0000-0000-00000E020000}"/>
    <cellStyle name="40% - Accent4 23" xfId="581" xr:uid="{00000000-0005-0000-0000-00000F020000}"/>
    <cellStyle name="40% - Accent4 24" xfId="582" xr:uid="{00000000-0005-0000-0000-000010020000}"/>
    <cellStyle name="40% - Accent4 25" xfId="583" xr:uid="{00000000-0005-0000-0000-000011020000}"/>
    <cellStyle name="40% - Accent4 26" xfId="584" xr:uid="{00000000-0005-0000-0000-000012020000}"/>
    <cellStyle name="40% - Accent4 27" xfId="585" xr:uid="{00000000-0005-0000-0000-000013020000}"/>
    <cellStyle name="40% - Accent4 28" xfId="586" xr:uid="{00000000-0005-0000-0000-000014020000}"/>
    <cellStyle name="40% - Accent4 3" xfId="587" xr:uid="{00000000-0005-0000-0000-000015020000}"/>
    <cellStyle name="40% - Accent4 4" xfId="588" xr:uid="{00000000-0005-0000-0000-000016020000}"/>
    <cellStyle name="40% - Accent4 5" xfId="589" xr:uid="{00000000-0005-0000-0000-000017020000}"/>
    <cellStyle name="40% - Accent4 6" xfId="590" xr:uid="{00000000-0005-0000-0000-000018020000}"/>
    <cellStyle name="40% - Accent4 7" xfId="591" xr:uid="{00000000-0005-0000-0000-000019020000}"/>
    <cellStyle name="40% - Accent4 8" xfId="592" xr:uid="{00000000-0005-0000-0000-00001A020000}"/>
    <cellStyle name="40% - Accent4 9" xfId="593" xr:uid="{00000000-0005-0000-0000-00001B020000}"/>
    <cellStyle name="40% - Accent5" xfId="52" builtinId="47" customBuiltin="1"/>
    <cellStyle name="40% - Accent5 10" xfId="594" xr:uid="{00000000-0005-0000-0000-00001D020000}"/>
    <cellStyle name="40% - Accent5 11" xfId="595" xr:uid="{00000000-0005-0000-0000-00001E020000}"/>
    <cellStyle name="40% - Accent5 12" xfId="596" xr:uid="{00000000-0005-0000-0000-00001F020000}"/>
    <cellStyle name="40% - Accent5 13" xfId="597" xr:uid="{00000000-0005-0000-0000-000020020000}"/>
    <cellStyle name="40% - Accent5 14" xfId="598" xr:uid="{00000000-0005-0000-0000-000021020000}"/>
    <cellStyle name="40% - Accent5 15" xfId="599" xr:uid="{00000000-0005-0000-0000-000022020000}"/>
    <cellStyle name="40% - Accent5 16" xfId="600" xr:uid="{00000000-0005-0000-0000-000023020000}"/>
    <cellStyle name="40% - Accent5 17" xfId="601" xr:uid="{00000000-0005-0000-0000-000024020000}"/>
    <cellStyle name="40% - Accent5 18" xfId="602" xr:uid="{00000000-0005-0000-0000-000025020000}"/>
    <cellStyle name="40% - Accent5 19" xfId="603" xr:uid="{00000000-0005-0000-0000-000026020000}"/>
    <cellStyle name="40% - Accent5 2" xfId="604" xr:uid="{00000000-0005-0000-0000-000027020000}"/>
    <cellStyle name="40% - Accent5 2 10" xfId="605" xr:uid="{00000000-0005-0000-0000-000028020000}"/>
    <cellStyle name="40% - Accent5 2 11" xfId="606" xr:uid="{00000000-0005-0000-0000-000029020000}"/>
    <cellStyle name="40% - Accent5 2 12" xfId="607" xr:uid="{00000000-0005-0000-0000-00002A020000}"/>
    <cellStyle name="40% - Accent5 2 13" xfId="608" xr:uid="{00000000-0005-0000-0000-00002B020000}"/>
    <cellStyle name="40% - Accent5 2 14" xfId="609" xr:uid="{00000000-0005-0000-0000-00002C020000}"/>
    <cellStyle name="40% - Accent5 2 15" xfId="610" xr:uid="{00000000-0005-0000-0000-00002D020000}"/>
    <cellStyle name="40% - Accent5 2 16" xfId="611" xr:uid="{00000000-0005-0000-0000-00002E020000}"/>
    <cellStyle name="40% - Accent5 2 17" xfId="612" xr:uid="{00000000-0005-0000-0000-00002F020000}"/>
    <cellStyle name="40% - Accent5 2 18" xfId="613" xr:uid="{00000000-0005-0000-0000-000030020000}"/>
    <cellStyle name="40% - Accent5 2 19" xfId="614" xr:uid="{00000000-0005-0000-0000-000031020000}"/>
    <cellStyle name="40% - Accent5 2 2" xfId="615" xr:uid="{00000000-0005-0000-0000-000032020000}"/>
    <cellStyle name="40% - Accent5 2 20" xfId="616" xr:uid="{00000000-0005-0000-0000-000033020000}"/>
    <cellStyle name="40% - Accent5 2 21" xfId="617" xr:uid="{00000000-0005-0000-0000-000034020000}"/>
    <cellStyle name="40% - Accent5 2 22" xfId="618" xr:uid="{00000000-0005-0000-0000-000035020000}"/>
    <cellStyle name="40% - Accent5 2 23" xfId="619" xr:uid="{00000000-0005-0000-0000-000036020000}"/>
    <cellStyle name="40% - Accent5 2 24" xfId="620" xr:uid="{00000000-0005-0000-0000-000037020000}"/>
    <cellStyle name="40% - Accent5 2 25" xfId="621" xr:uid="{00000000-0005-0000-0000-000038020000}"/>
    <cellStyle name="40% - Accent5 2 26" xfId="622" xr:uid="{00000000-0005-0000-0000-000039020000}"/>
    <cellStyle name="40% - Accent5 2 27" xfId="623" xr:uid="{00000000-0005-0000-0000-00003A020000}"/>
    <cellStyle name="40% - Accent5 2 3" xfId="624" xr:uid="{00000000-0005-0000-0000-00003B020000}"/>
    <cellStyle name="40% - Accent5 2 4" xfId="625" xr:uid="{00000000-0005-0000-0000-00003C020000}"/>
    <cellStyle name="40% - Accent5 2 5" xfId="626" xr:uid="{00000000-0005-0000-0000-00003D020000}"/>
    <cellStyle name="40% - Accent5 2 6" xfId="627" xr:uid="{00000000-0005-0000-0000-00003E020000}"/>
    <cellStyle name="40% - Accent5 2 7" xfId="628" xr:uid="{00000000-0005-0000-0000-00003F020000}"/>
    <cellStyle name="40% - Accent5 2 8" xfId="629" xr:uid="{00000000-0005-0000-0000-000040020000}"/>
    <cellStyle name="40% - Accent5 2 9" xfId="630" xr:uid="{00000000-0005-0000-0000-000041020000}"/>
    <cellStyle name="40% - Accent5 20" xfId="631" xr:uid="{00000000-0005-0000-0000-000042020000}"/>
    <cellStyle name="40% - Accent5 21" xfId="632" xr:uid="{00000000-0005-0000-0000-000043020000}"/>
    <cellStyle name="40% - Accent5 22" xfId="633" xr:uid="{00000000-0005-0000-0000-000044020000}"/>
    <cellStyle name="40% - Accent5 23" xfId="634" xr:uid="{00000000-0005-0000-0000-000045020000}"/>
    <cellStyle name="40% - Accent5 24" xfId="635" xr:uid="{00000000-0005-0000-0000-000046020000}"/>
    <cellStyle name="40% - Accent5 25" xfId="636" xr:uid="{00000000-0005-0000-0000-000047020000}"/>
    <cellStyle name="40% - Accent5 26" xfId="637" xr:uid="{00000000-0005-0000-0000-000048020000}"/>
    <cellStyle name="40% - Accent5 27" xfId="638" xr:uid="{00000000-0005-0000-0000-000049020000}"/>
    <cellStyle name="40% - Accent5 28" xfId="639" xr:uid="{00000000-0005-0000-0000-00004A020000}"/>
    <cellStyle name="40% - Accent5 3" xfId="640" xr:uid="{00000000-0005-0000-0000-00004B020000}"/>
    <cellStyle name="40% - Accent5 4" xfId="641" xr:uid="{00000000-0005-0000-0000-00004C020000}"/>
    <cellStyle name="40% - Accent5 5" xfId="642" xr:uid="{00000000-0005-0000-0000-00004D020000}"/>
    <cellStyle name="40% - Accent5 6" xfId="643" xr:uid="{00000000-0005-0000-0000-00004E020000}"/>
    <cellStyle name="40% - Accent5 7" xfId="644" xr:uid="{00000000-0005-0000-0000-00004F020000}"/>
    <cellStyle name="40% - Accent5 8" xfId="645" xr:uid="{00000000-0005-0000-0000-000050020000}"/>
    <cellStyle name="40% - Accent5 9" xfId="646" xr:uid="{00000000-0005-0000-0000-000051020000}"/>
    <cellStyle name="40% - Accent6" xfId="56" builtinId="51" customBuiltin="1"/>
    <cellStyle name="40% - Accent6 10" xfId="647" xr:uid="{00000000-0005-0000-0000-000053020000}"/>
    <cellStyle name="40% - Accent6 11" xfId="648" xr:uid="{00000000-0005-0000-0000-000054020000}"/>
    <cellStyle name="40% - Accent6 12" xfId="649" xr:uid="{00000000-0005-0000-0000-000055020000}"/>
    <cellStyle name="40% - Accent6 13" xfId="650" xr:uid="{00000000-0005-0000-0000-000056020000}"/>
    <cellStyle name="40% - Accent6 14" xfId="651" xr:uid="{00000000-0005-0000-0000-000057020000}"/>
    <cellStyle name="40% - Accent6 15" xfId="652" xr:uid="{00000000-0005-0000-0000-000058020000}"/>
    <cellStyle name="40% - Accent6 16" xfId="653" xr:uid="{00000000-0005-0000-0000-000059020000}"/>
    <cellStyle name="40% - Accent6 17" xfId="654" xr:uid="{00000000-0005-0000-0000-00005A020000}"/>
    <cellStyle name="40% - Accent6 18" xfId="655" xr:uid="{00000000-0005-0000-0000-00005B020000}"/>
    <cellStyle name="40% - Accent6 19" xfId="656" xr:uid="{00000000-0005-0000-0000-00005C020000}"/>
    <cellStyle name="40% - Accent6 2" xfId="657" xr:uid="{00000000-0005-0000-0000-00005D020000}"/>
    <cellStyle name="40% - Accent6 2 10" xfId="658" xr:uid="{00000000-0005-0000-0000-00005E020000}"/>
    <cellStyle name="40% - Accent6 2 11" xfId="659" xr:uid="{00000000-0005-0000-0000-00005F020000}"/>
    <cellStyle name="40% - Accent6 2 12" xfId="660" xr:uid="{00000000-0005-0000-0000-000060020000}"/>
    <cellStyle name="40% - Accent6 2 13" xfId="661" xr:uid="{00000000-0005-0000-0000-000061020000}"/>
    <cellStyle name="40% - Accent6 2 14" xfId="662" xr:uid="{00000000-0005-0000-0000-000062020000}"/>
    <cellStyle name="40% - Accent6 2 15" xfId="663" xr:uid="{00000000-0005-0000-0000-000063020000}"/>
    <cellStyle name="40% - Accent6 2 16" xfId="664" xr:uid="{00000000-0005-0000-0000-000064020000}"/>
    <cellStyle name="40% - Accent6 2 17" xfId="665" xr:uid="{00000000-0005-0000-0000-000065020000}"/>
    <cellStyle name="40% - Accent6 2 18" xfId="666" xr:uid="{00000000-0005-0000-0000-000066020000}"/>
    <cellStyle name="40% - Accent6 2 19" xfId="667" xr:uid="{00000000-0005-0000-0000-000067020000}"/>
    <cellStyle name="40% - Accent6 2 2" xfId="668" xr:uid="{00000000-0005-0000-0000-000068020000}"/>
    <cellStyle name="40% - Accent6 2 20" xfId="669" xr:uid="{00000000-0005-0000-0000-000069020000}"/>
    <cellStyle name="40% - Accent6 2 21" xfId="670" xr:uid="{00000000-0005-0000-0000-00006A020000}"/>
    <cellStyle name="40% - Accent6 2 22" xfId="671" xr:uid="{00000000-0005-0000-0000-00006B020000}"/>
    <cellStyle name="40% - Accent6 2 23" xfId="672" xr:uid="{00000000-0005-0000-0000-00006C020000}"/>
    <cellStyle name="40% - Accent6 2 24" xfId="673" xr:uid="{00000000-0005-0000-0000-00006D020000}"/>
    <cellStyle name="40% - Accent6 2 25" xfId="674" xr:uid="{00000000-0005-0000-0000-00006E020000}"/>
    <cellStyle name="40% - Accent6 2 26" xfId="675" xr:uid="{00000000-0005-0000-0000-00006F020000}"/>
    <cellStyle name="40% - Accent6 2 27" xfId="676" xr:uid="{00000000-0005-0000-0000-000070020000}"/>
    <cellStyle name="40% - Accent6 2 3" xfId="677" xr:uid="{00000000-0005-0000-0000-000071020000}"/>
    <cellStyle name="40% - Accent6 2 4" xfId="678" xr:uid="{00000000-0005-0000-0000-000072020000}"/>
    <cellStyle name="40% - Accent6 2 5" xfId="679" xr:uid="{00000000-0005-0000-0000-000073020000}"/>
    <cellStyle name="40% - Accent6 2 6" xfId="680" xr:uid="{00000000-0005-0000-0000-000074020000}"/>
    <cellStyle name="40% - Accent6 2 7" xfId="681" xr:uid="{00000000-0005-0000-0000-000075020000}"/>
    <cellStyle name="40% - Accent6 2 8" xfId="682" xr:uid="{00000000-0005-0000-0000-000076020000}"/>
    <cellStyle name="40% - Accent6 2 9" xfId="683" xr:uid="{00000000-0005-0000-0000-000077020000}"/>
    <cellStyle name="40% - Accent6 20" xfId="684" xr:uid="{00000000-0005-0000-0000-000078020000}"/>
    <cellStyle name="40% - Accent6 21" xfId="685" xr:uid="{00000000-0005-0000-0000-000079020000}"/>
    <cellStyle name="40% - Accent6 22" xfId="686" xr:uid="{00000000-0005-0000-0000-00007A020000}"/>
    <cellStyle name="40% - Accent6 23" xfId="687" xr:uid="{00000000-0005-0000-0000-00007B020000}"/>
    <cellStyle name="40% - Accent6 24" xfId="688" xr:uid="{00000000-0005-0000-0000-00007C020000}"/>
    <cellStyle name="40% - Accent6 25" xfId="689" xr:uid="{00000000-0005-0000-0000-00007D020000}"/>
    <cellStyle name="40% - Accent6 26" xfId="690" xr:uid="{00000000-0005-0000-0000-00007E020000}"/>
    <cellStyle name="40% - Accent6 27" xfId="691" xr:uid="{00000000-0005-0000-0000-00007F020000}"/>
    <cellStyle name="40% - Accent6 28" xfId="692" xr:uid="{00000000-0005-0000-0000-000080020000}"/>
    <cellStyle name="40% - Accent6 3" xfId="693" xr:uid="{00000000-0005-0000-0000-000081020000}"/>
    <cellStyle name="40% - Accent6 4" xfId="694" xr:uid="{00000000-0005-0000-0000-000082020000}"/>
    <cellStyle name="40% - Accent6 5" xfId="695" xr:uid="{00000000-0005-0000-0000-000083020000}"/>
    <cellStyle name="40% - Accent6 6" xfId="696" xr:uid="{00000000-0005-0000-0000-000084020000}"/>
    <cellStyle name="40% - Accent6 7" xfId="697" xr:uid="{00000000-0005-0000-0000-000085020000}"/>
    <cellStyle name="40% - Accent6 8" xfId="698" xr:uid="{00000000-0005-0000-0000-000086020000}"/>
    <cellStyle name="40% - Accent6 9" xfId="699" xr:uid="{00000000-0005-0000-0000-000087020000}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Bad" xfId="24" builtinId="27" customBuiltin="1"/>
    <cellStyle name="Calculation" xfId="28" builtinId="22" customBuiltin="1"/>
    <cellStyle name="Check Cell" xfId="30" builtinId="23" customBuiltin="1"/>
    <cellStyle name="Comma" xfId="1" builtinId="3"/>
    <cellStyle name="Comma 2" xfId="61" xr:uid="{00000000-0005-0000-0000-000098020000}"/>
    <cellStyle name="Currency" xfId="2" builtinId="4"/>
    <cellStyle name="Currency 2" xfId="60" xr:uid="{00000000-0005-0000-0000-00009A020000}"/>
    <cellStyle name="Explanatory Text" xfId="32" builtinId="53" customBuilti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3" builtinId="26" customBuiltin="1"/>
    <cellStyle name="Heading 1" xfId="19" builtinId="16" customBuiltin="1"/>
    <cellStyle name="Heading 2" xfId="20" builtinId="17" customBuiltin="1"/>
    <cellStyle name="Heading 3" xfId="21" builtinId="18" customBuiltin="1"/>
    <cellStyle name="Heading 4" xfId="22" builtinId="19" customBuilti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26" builtinId="20" customBuiltin="1"/>
    <cellStyle name="Linked Cell" xfId="29" builtinId="24" customBuiltin="1"/>
    <cellStyle name="Neutral" xfId="25" builtinId="28" customBuiltin="1"/>
    <cellStyle name="Normal" xfId="0" builtinId="0"/>
    <cellStyle name="Normal 10" xfId="62" xr:uid="{00000000-0005-0000-0000-0000B1020000}"/>
    <cellStyle name="Normal 2" xfId="700" xr:uid="{00000000-0005-0000-0000-0000B2020000}"/>
    <cellStyle name="Normal 2 10" xfId="701" xr:uid="{00000000-0005-0000-0000-0000B3020000}"/>
    <cellStyle name="Normal 2 11" xfId="702" xr:uid="{00000000-0005-0000-0000-0000B4020000}"/>
    <cellStyle name="Normal 2 12" xfId="703" xr:uid="{00000000-0005-0000-0000-0000B5020000}"/>
    <cellStyle name="Normal 2 13" xfId="704" xr:uid="{00000000-0005-0000-0000-0000B6020000}"/>
    <cellStyle name="Normal 2 14" xfId="705" xr:uid="{00000000-0005-0000-0000-0000B7020000}"/>
    <cellStyle name="Normal 2 15" xfId="706" xr:uid="{00000000-0005-0000-0000-0000B8020000}"/>
    <cellStyle name="Normal 2 16" xfId="707" xr:uid="{00000000-0005-0000-0000-0000B9020000}"/>
    <cellStyle name="Normal 2 17" xfId="708" xr:uid="{00000000-0005-0000-0000-0000BA020000}"/>
    <cellStyle name="Normal 2 18" xfId="709" xr:uid="{00000000-0005-0000-0000-0000BB020000}"/>
    <cellStyle name="Normal 2 19" xfId="710" xr:uid="{00000000-0005-0000-0000-0000BC020000}"/>
    <cellStyle name="Normal 2 2" xfId="711" xr:uid="{00000000-0005-0000-0000-0000BD020000}"/>
    <cellStyle name="Normal 2 2 10" xfId="712" xr:uid="{00000000-0005-0000-0000-0000BE020000}"/>
    <cellStyle name="Normal 2 2 11" xfId="713" xr:uid="{00000000-0005-0000-0000-0000BF020000}"/>
    <cellStyle name="Normal 2 2 12" xfId="714" xr:uid="{00000000-0005-0000-0000-0000C0020000}"/>
    <cellStyle name="Normal 2 2 13" xfId="715" xr:uid="{00000000-0005-0000-0000-0000C1020000}"/>
    <cellStyle name="Normal 2 2 14" xfId="716" xr:uid="{00000000-0005-0000-0000-0000C2020000}"/>
    <cellStyle name="Normal 2 2 15" xfId="717" xr:uid="{00000000-0005-0000-0000-0000C3020000}"/>
    <cellStyle name="Normal 2 2 16" xfId="718" xr:uid="{00000000-0005-0000-0000-0000C4020000}"/>
    <cellStyle name="Normal 2 2 17" xfId="719" xr:uid="{00000000-0005-0000-0000-0000C5020000}"/>
    <cellStyle name="Normal 2 2 18" xfId="720" xr:uid="{00000000-0005-0000-0000-0000C6020000}"/>
    <cellStyle name="Normal 2 2 19" xfId="721" xr:uid="{00000000-0005-0000-0000-0000C7020000}"/>
    <cellStyle name="Normal 2 2 2" xfId="722" xr:uid="{00000000-0005-0000-0000-0000C8020000}"/>
    <cellStyle name="Normal 2 2 20" xfId="723" xr:uid="{00000000-0005-0000-0000-0000C9020000}"/>
    <cellStyle name="Normal 2 2 21" xfId="724" xr:uid="{00000000-0005-0000-0000-0000CA020000}"/>
    <cellStyle name="Normal 2 2 22" xfId="725" xr:uid="{00000000-0005-0000-0000-0000CB020000}"/>
    <cellStyle name="Normal 2 2 23" xfId="726" xr:uid="{00000000-0005-0000-0000-0000CC020000}"/>
    <cellStyle name="Normal 2 2 24" xfId="727" xr:uid="{00000000-0005-0000-0000-0000CD020000}"/>
    <cellStyle name="Normal 2 2 25" xfId="728" xr:uid="{00000000-0005-0000-0000-0000CE020000}"/>
    <cellStyle name="Normal 2 2 26" xfId="729" xr:uid="{00000000-0005-0000-0000-0000CF020000}"/>
    <cellStyle name="Normal 2 2 27" xfId="730" xr:uid="{00000000-0005-0000-0000-0000D0020000}"/>
    <cellStyle name="Normal 2 2 3" xfId="731" xr:uid="{00000000-0005-0000-0000-0000D1020000}"/>
    <cellStyle name="Normal 2 2 4" xfId="732" xr:uid="{00000000-0005-0000-0000-0000D2020000}"/>
    <cellStyle name="Normal 2 2 5" xfId="733" xr:uid="{00000000-0005-0000-0000-0000D3020000}"/>
    <cellStyle name="Normal 2 2 6" xfId="734" xr:uid="{00000000-0005-0000-0000-0000D4020000}"/>
    <cellStyle name="Normal 2 2 7" xfId="735" xr:uid="{00000000-0005-0000-0000-0000D5020000}"/>
    <cellStyle name="Normal 2 2 8" xfId="736" xr:uid="{00000000-0005-0000-0000-0000D6020000}"/>
    <cellStyle name="Normal 2 2 9" xfId="737" xr:uid="{00000000-0005-0000-0000-0000D7020000}"/>
    <cellStyle name="Normal 2 20" xfId="738" xr:uid="{00000000-0005-0000-0000-0000D8020000}"/>
    <cellStyle name="Normal 2 21" xfId="739" xr:uid="{00000000-0005-0000-0000-0000D9020000}"/>
    <cellStyle name="Normal 2 22" xfId="740" xr:uid="{00000000-0005-0000-0000-0000DA020000}"/>
    <cellStyle name="Normal 2 23" xfId="741" xr:uid="{00000000-0005-0000-0000-0000DB020000}"/>
    <cellStyle name="Normal 2 24" xfId="742" xr:uid="{00000000-0005-0000-0000-0000DC020000}"/>
    <cellStyle name="Normal 2 25" xfId="743" xr:uid="{00000000-0005-0000-0000-0000DD020000}"/>
    <cellStyle name="Normal 2 26" xfId="744" xr:uid="{00000000-0005-0000-0000-0000DE020000}"/>
    <cellStyle name="Normal 2 27" xfId="745" xr:uid="{00000000-0005-0000-0000-0000DF020000}"/>
    <cellStyle name="Normal 2 28" xfId="746" xr:uid="{00000000-0005-0000-0000-0000E0020000}"/>
    <cellStyle name="Normal 2 29" xfId="747" xr:uid="{00000000-0005-0000-0000-0000E1020000}"/>
    <cellStyle name="Normal 2 3" xfId="748" xr:uid="{00000000-0005-0000-0000-0000E2020000}"/>
    <cellStyle name="Normal 2 4" xfId="749" xr:uid="{00000000-0005-0000-0000-0000E3020000}"/>
    <cellStyle name="Normal 2 5" xfId="750" xr:uid="{00000000-0005-0000-0000-0000E4020000}"/>
    <cellStyle name="Normal 2 6" xfId="751" xr:uid="{00000000-0005-0000-0000-0000E5020000}"/>
    <cellStyle name="Normal 2 7" xfId="752" xr:uid="{00000000-0005-0000-0000-0000E6020000}"/>
    <cellStyle name="Normal 2 8" xfId="753" xr:uid="{00000000-0005-0000-0000-0000E7020000}"/>
    <cellStyle name="Normal 2 9" xfId="754" xr:uid="{00000000-0005-0000-0000-0000E8020000}"/>
    <cellStyle name="Normal 3" xfId="755" xr:uid="{00000000-0005-0000-0000-0000E9020000}"/>
    <cellStyle name="Normal 3 10" xfId="756" xr:uid="{00000000-0005-0000-0000-0000EA020000}"/>
    <cellStyle name="Normal 3 11" xfId="757" xr:uid="{00000000-0005-0000-0000-0000EB020000}"/>
    <cellStyle name="Normal 3 12" xfId="758" xr:uid="{00000000-0005-0000-0000-0000EC020000}"/>
    <cellStyle name="Normal 3 13" xfId="759" xr:uid="{00000000-0005-0000-0000-0000ED020000}"/>
    <cellStyle name="Normal 3 14" xfId="760" xr:uid="{00000000-0005-0000-0000-0000EE020000}"/>
    <cellStyle name="Normal 3 15" xfId="761" xr:uid="{00000000-0005-0000-0000-0000EF020000}"/>
    <cellStyle name="Normal 3 16" xfId="762" xr:uid="{00000000-0005-0000-0000-0000F0020000}"/>
    <cellStyle name="Normal 3 17" xfId="763" xr:uid="{00000000-0005-0000-0000-0000F1020000}"/>
    <cellStyle name="Normal 3 18" xfId="764" xr:uid="{00000000-0005-0000-0000-0000F2020000}"/>
    <cellStyle name="Normal 3 19" xfId="765" xr:uid="{00000000-0005-0000-0000-0000F3020000}"/>
    <cellStyle name="Normal 3 2" xfId="766" xr:uid="{00000000-0005-0000-0000-0000F4020000}"/>
    <cellStyle name="Normal 3 20" xfId="767" xr:uid="{00000000-0005-0000-0000-0000F5020000}"/>
    <cellStyle name="Normal 3 21" xfId="768" xr:uid="{00000000-0005-0000-0000-0000F6020000}"/>
    <cellStyle name="Normal 3 22" xfId="769" xr:uid="{00000000-0005-0000-0000-0000F7020000}"/>
    <cellStyle name="Normal 3 23" xfId="770" xr:uid="{00000000-0005-0000-0000-0000F8020000}"/>
    <cellStyle name="Normal 3 24" xfId="771" xr:uid="{00000000-0005-0000-0000-0000F9020000}"/>
    <cellStyle name="Normal 3 25" xfId="772" xr:uid="{00000000-0005-0000-0000-0000FA020000}"/>
    <cellStyle name="Normal 3 26" xfId="773" xr:uid="{00000000-0005-0000-0000-0000FB020000}"/>
    <cellStyle name="Normal 3 27" xfId="774" xr:uid="{00000000-0005-0000-0000-0000FC020000}"/>
    <cellStyle name="Normal 3 28" xfId="775" xr:uid="{00000000-0005-0000-0000-0000FD020000}"/>
    <cellStyle name="Normal 3 3" xfId="776" xr:uid="{00000000-0005-0000-0000-0000FE020000}"/>
    <cellStyle name="Normal 3 4" xfId="777" xr:uid="{00000000-0005-0000-0000-0000FF020000}"/>
    <cellStyle name="Normal 3 5" xfId="778" xr:uid="{00000000-0005-0000-0000-000000030000}"/>
    <cellStyle name="Normal 3 6" xfId="779" xr:uid="{00000000-0005-0000-0000-000001030000}"/>
    <cellStyle name="Normal 3 7" xfId="780" xr:uid="{00000000-0005-0000-0000-000002030000}"/>
    <cellStyle name="Normal 3 8" xfId="781" xr:uid="{00000000-0005-0000-0000-000003030000}"/>
    <cellStyle name="Normal 3 9" xfId="782" xr:uid="{00000000-0005-0000-0000-000004030000}"/>
    <cellStyle name="Normal 4" xfId="783" xr:uid="{00000000-0005-0000-0000-000005030000}"/>
    <cellStyle name="Normal 4 10" xfId="784" xr:uid="{00000000-0005-0000-0000-000006030000}"/>
    <cellStyle name="Normal 4 11" xfId="785" xr:uid="{00000000-0005-0000-0000-000007030000}"/>
    <cellStyle name="Normal 4 12" xfId="786" xr:uid="{00000000-0005-0000-0000-000008030000}"/>
    <cellStyle name="Normal 4 13" xfId="787" xr:uid="{00000000-0005-0000-0000-000009030000}"/>
    <cellStyle name="Normal 4 14" xfId="788" xr:uid="{00000000-0005-0000-0000-00000A030000}"/>
    <cellStyle name="Normal 4 15" xfId="789" xr:uid="{00000000-0005-0000-0000-00000B030000}"/>
    <cellStyle name="Normal 4 16" xfId="790" xr:uid="{00000000-0005-0000-0000-00000C030000}"/>
    <cellStyle name="Normal 4 17" xfId="791" xr:uid="{00000000-0005-0000-0000-00000D030000}"/>
    <cellStyle name="Normal 4 18" xfId="792" xr:uid="{00000000-0005-0000-0000-00000E030000}"/>
    <cellStyle name="Normal 4 19" xfId="793" xr:uid="{00000000-0005-0000-0000-00000F030000}"/>
    <cellStyle name="Normal 4 2" xfId="794" xr:uid="{00000000-0005-0000-0000-000010030000}"/>
    <cellStyle name="Normal 4 20" xfId="795" xr:uid="{00000000-0005-0000-0000-000011030000}"/>
    <cellStyle name="Normal 4 21" xfId="796" xr:uid="{00000000-0005-0000-0000-000012030000}"/>
    <cellStyle name="Normal 4 22" xfId="797" xr:uid="{00000000-0005-0000-0000-000013030000}"/>
    <cellStyle name="Normal 4 23" xfId="798" xr:uid="{00000000-0005-0000-0000-000014030000}"/>
    <cellStyle name="Normal 4 24" xfId="799" xr:uid="{00000000-0005-0000-0000-000015030000}"/>
    <cellStyle name="Normal 4 25" xfId="800" xr:uid="{00000000-0005-0000-0000-000016030000}"/>
    <cellStyle name="Normal 4 26" xfId="801" xr:uid="{00000000-0005-0000-0000-000017030000}"/>
    <cellStyle name="Normal 4 27" xfId="802" xr:uid="{00000000-0005-0000-0000-000018030000}"/>
    <cellStyle name="Normal 4 28" xfId="803" xr:uid="{00000000-0005-0000-0000-000019030000}"/>
    <cellStyle name="Normal 4 3" xfId="804" xr:uid="{00000000-0005-0000-0000-00001A030000}"/>
    <cellStyle name="Normal 4 4" xfId="805" xr:uid="{00000000-0005-0000-0000-00001B030000}"/>
    <cellStyle name="Normal 4 5" xfId="806" xr:uid="{00000000-0005-0000-0000-00001C030000}"/>
    <cellStyle name="Normal 4 6" xfId="807" xr:uid="{00000000-0005-0000-0000-00001D030000}"/>
    <cellStyle name="Normal 4 7" xfId="808" xr:uid="{00000000-0005-0000-0000-00001E030000}"/>
    <cellStyle name="Normal 4 8" xfId="809" xr:uid="{00000000-0005-0000-0000-00001F030000}"/>
    <cellStyle name="Normal 4 9" xfId="810" xr:uid="{00000000-0005-0000-0000-000020030000}"/>
    <cellStyle name="Normal 5" xfId="811" xr:uid="{00000000-0005-0000-0000-000021030000}"/>
    <cellStyle name="Normal 5 10" xfId="812" xr:uid="{00000000-0005-0000-0000-000022030000}"/>
    <cellStyle name="Normal 5 11" xfId="813" xr:uid="{00000000-0005-0000-0000-000023030000}"/>
    <cellStyle name="Normal 5 12" xfId="814" xr:uid="{00000000-0005-0000-0000-000024030000}"/>
    <cellStyle name="Normal 5 13" xfId="815" xr:uid="{00000000-0005-0000-0000-000025030000}"/>
    <cellStyle name="Normal 5 14" xfId="816" xr:uid="{00000000-0005-0000-0000-000026030000}"/>
    <cellStyle name="Normal 5 15" xfId="817" xr:uid="{00000000-0005-0000-0000-000027030000}"/>
    <cellStyle name="Normal 5 16" xfId="818" xr:uid="{00000000-0005-0000-0000-000028030000}"/>
    <cellStyle name="Normal 5 17" xfId="819" xr:uid="{00000000-0005-0000-0000-000029030000}"/>
    <cellStyle name="Normal 5 18" xfId="820" xr:uid="{00000000-0005-0000-0000-00002A030000}"/>
    <cellStyle name="Normal 5 19" xfId="821" xr:uid="{00000000-0005-0000-0000-00002B030000}"/>
    <cellStyle name="Normal 5 2" xfId="822" xr:uid="{00000000-0005-0000-0000-00002C030000}"/>
    <cellStyle name="Normal 5 20" xfId="823" xr:uid="{00000000-0005-0000-0000-00002D030000}"/>
    <cellStyle name="Normal 5 21" xfId="824" xr:uid="{00000000-0005-0000-0000-00002E030000}"/>
    <cellStyle name="Normal 5 22" xfId="825" xr:uid="{00000000-0005-0000-0000-00002F030000}"/>
    <cellStyle name="Normal 5 23" xfId="826" xr:uid="{00000000-0005-0000-0000-000030030000}"/>
    <cellStyle name="Normal 5 24" xfId="827" xr:uid="{00000000-0005-0000-0000-000031030000}"/>
    <cellStyle name="Normal 5 25" xfId="828" xr:uid="{00000000-0005-0000-0000-000032030000}"/>
    <cellStyle name="Normal 5 26" xfId="829" xr:uid="{00000000-0005-0000-0000-000033030000}"/>
    <cellStyle name="Normal 5 27" xfId="830" xr:uid="{00000000-0005-0000-0000-000034030000}"/>
    <cellStyle name="Normal 5 3" xfId="831" xr:uid="{00000000-0005-0000-0000-000035030000}"/>
    <cellStyle name="Normal 5 4" xfId="832" xr:uid="{00000000-0005-0000-0000-000036030000}"/>
    <cellStyle name="Normal 5 5" xfId="833" xr:uid="{00000000-0005-0000-0000-000037030000}"/>
    <cellStyle name="Normal 5 6" xfId="834" xr:uid="{00000000-0005-0000-0000-000038030000}"/>
    <cellStyle name="Normal 5 7" xfId="835" xr:uid="{00000000-0005-0000-0000-000039030000}"/>
    <cellStyle name="Normal 5 8" xfId="836" xr:uid="{00000000-0005-0000-0000-00003A030000}"/>
    <cellStyle name="Normal 5 9" xfId="837" xr:uid="{00000000-0005-0000-0000-00003B030000}"/>
    <cellStyle name="Normal 6" xfId="838" xr:uid="{00000000-0005-0000-0000-00003C030000}"/>
    <cellStyle name="Normal 6 10" xfId="839" xr:uid="{00000000-0005-0000-0000-00003D030000}"/>
    <cellStyle name="Normal 6 11" xfId="840" xr:uid="{00000000-0005-0000-0000-00003E030000}"/>
    <cellStyle name="Normal 6 12" xfId="841" xr:uid="{00000000-0005-0000-0000-00003F030000}"/>
    <cellStyle name="Normal 6 13" xfId="842" xr:uid="{00000000-0005-0000-0000-000040030000}"/>
    <cellStyle name="Normal 6 14" xfId="843" xr:uid="{00000000-0005-0000-0000-000041030000}"/>
    <cellStyle name="Normal 6 15" xfId="844" xr:uid="{00000000-0005-0000-0000-000042030000}"/>
    <cellStyle name="Normal 6 16" xfId="845" xr:uid="{00000000-0005-0000-0000-000043030000}"/>
    <cellStyle name="Normal 6 17" xfId="846" xr:uid="{00000000-0005-0000-0000-000044030000}"/>
    <cellStyle name="Normal 6 18" xfId="847" xr:uid="{00000000-0005-0000-0000-000045030000}"/>
    <cellStyle name="Normal 6 19" xfId="848" xr:uid="{00000000-0005-0000-0000-000046030000}"/>
    <cellStyle name="Normal 6 2" xfId="849" xr:uid="{00000000-0005-0000-0000-000047030000}"/>
    <cellStyle name="Normal 6 20" xfId="850" xr:uid="{00000000-0005-0000-0000-000048030000}"/>
    <cellStyle name="Normal 6 21" xfId="851" xr:uid="{00000000-0005-0000-0000-000049030000}"/>
    <cellStyle name="Normal 6 22" xfId="852" xr:uid="{00000000-0005-0000-0000-00004A030000}"/>
    <cellStyle name="Normal 6 23" xfId="853" xr:uid="{00000000-0005-0000-0000-00004B030000}"/>
    <cellStyle name="Normal 6 24" xfId="854" xr:uid="{00000000-0005-0000-0000-00004C030000}"/>
    <cellStyle name="Normal 6 25" xfId="855" xr:uid="{00000000-0005-0000-0000-00004D030000}"/>
    <cellStyle name="Normal 6 26" xfId="856" xr:uid="{00000000-0005-0000-0000-00004E030000}"/>
    <cellStyle name="Normal 6 27" xfId="857" xr:uid="{00000000-0005-0000-0000-00004F030000}"/>
    <cellStyle name="Normal 6 28" xfId="858" xr:uid="{00000000-0005-0000-0000-000050030000}"/>
    <cellStyle name="Normal 6 3" xfId="859" xr:uid="{00000000-0005-0000-0000-000051030000}"/>
    <cellStyle name="Normal 6 4" xfId="860" xr:uid="{00000000-0005-0000-0000-000052030000}"/>
    <cellStyle name="Normal 6 5" xfId="861" xr:uid="{00000000-0005-0000-0000-000053030000}"/>
    <cellStyle name="Normal 6 6" xfId="862" xr:uid="{00000000-0005-0000-0000-000054030000}"/>
    <cellStyle name="Normal 6 7" xfId="863" xr:uid="{00000000-0005-0000-0000-000055030000}"/>
    <cellStyle name="Normal 6 8" xfId="864" xr:uid="{00000000-0005-0000-0000-000056030000}"/>
    <cellStyle name="Normal 6 9" xfId="865" xr:uid="{00000000-0005-0000-0000-000057030000}"/>
    <cellStyle name="Normal 7" xfId="866" xr:uid="{00000000-0005-0000-0000-000058030000}"/>
    <cellStyle name="Normal 7 10" xfId="867" xr:uid="{00000000-0005-0000-0000-000059030000}"/>
    <cellStyle name="Normal 7 11" xfId="868" xr:uid="{00000000-0005-0000-0000-00005A030000}"/>
    <cellStyle name="Normal 7 12" xfId="869" xr:uid="{00000000-0005-0000-0000-00005B030000}"/>
    <cellStyle name="Normal 7 13" xfId="870" xr:uid="{00000000-0005-0000-0000-00005C030000}"/>
    <cellStyle name="Normal 7 14" xfId="871" xr:uid="{00000000-0005-0000-0000-00005D030000}"/>
    <cellStyle name="Normal 7 15" xfId="872" xr:uid="{00000000-0005-0000-0000-00005E030000}"/>
    <cellStyle name="Normal 7 16" xfId="873" xr:uid="{00000000-0005-0000-0000-00005F030000}"/>
    <cellStyle name="Normal 7 17" xfId="874" xr:uid="{00000000-0005-0000-0000-000060030000}"/>
    <cellStyle name="Normal 7 18" xfId="875" xr:uid="{00000000-0005-0000-0000-000061030000}"/>
    <cellStyle name="Normal 7 19" xfId="876" xr:uid="{00000000-0005-0000-0000-000062030000}"/>
    <cellStyle name="Normal 7 2" xfId="877" xr:uid="{00000000-0005-0000-0000-000063030000}"/>
    <cellStyle name="Normal 7 20" xfId="878" xr:uid="{00000000-0005-0000-0000-000064030000}"/>
    <cellStyle name="Normal 7 21" xfId="879" xr:uid="{00000000-0005-0000-0000-000065030000}"/>
    <cellStyle name="Normal 7 22" xfId="880" xr:uid="{00000000-0005-0000-0000-000066030000}"/>
    <cellStyle name="Normal 7 23" xfId="881" xr:uid="{00000000-0005-0000-0000-000067030000}"/>
    <cellStyle name="Normal 7 24" xfId="882" xr:uid="{00000000-0005-0000-0000-000068030000}"/>
    <cellStyle name="Normal 7 25" xfId="883" xr:uid="{00000000-0005-0000-0000-000069030000}"/>
    <cellStyle name="Normal 7 26" xfId="884" xr:uid="{00000000-0005-0000-0000-00006A030000}"/>
    <cellStyle name="Normal 7 27" xfId="885" xr:uid="{00000000-0005-0000-0000-00006B030000}"/>
    <cellStyle name="Normal 7 28" xfId="886" xr:uid="{00000000-0005-0000-0000-00006C030000}"/>
    <cellStyle name="Normal 7 3" xfId="887" xr:uid="{00000000-0005-0000-0000-00006D030000}"/>
    <cellStyle name="Normal 7 4" xfId="888" xr:uid="{00000000-0005-0000-0000-00006E030000}"/>
    <cellStyle name="Normal 7 5" xfId="889" xr:uid="{00000000-0005-0000-0000-00006F030000}"/>
    <cellStyle name="Normal 7 6" xfId="890" xr:uid="{00000000-0005-0000-0000-000070030000}"/>
    <cellStyle name="Normal 7 7" xfId="891" xr:uid="{00000000-0005-0000-0000-000071030000}"/>
    <cellStyle name="Normal 7 8" xfId="892" xr:uid="{00000000-0005-0000-0000-000072030000}"/>
    <cellStyle name="Normal 7 9" xfId="893" xr:uid="{00000000-0005-0000-0000-000073030000}"/>
    <cellStyle name="Normal 8" xfId="894" xr:uid="{00000000-0005-0000-0000-000074030000}"/>
    <cellStyle name="Normal 8 10" xfId="895" xr:uid="{00000000-0005-0000-0000-000075030000}"/>
    <cellStyle name="Normal 8 11" xfId="896" xr:uid="{00000000-0005-0000-0000-000076030000}"/>
    <cellStyle name="Normal 8 12" xfId="897" xr:uid="{00000000-0005-0000-0000-000077030000}"/>
    <cellStyle name="Normal 8 13" xfId="898" xr:uid="{00000000-0005-0000-0000-000078030000}"/>
    <cellStyle name="Normal 8 14" xfId="899" xr:uid="{00000000-0005-0000-0000-000079030000}"/>
    <cellStyle name="Normal 8 15" xfId="900" xr:uid="{00000000-0005-0000-0000-00007A030000}"/>
    <cellStyle name="Normal 8 16" xfId="901" xr:uid="{00000000-0005-0000-0000-00007B030000}"/>
    <cellStyle name="Normal 8 17" xfId="902" xr:uid="{00000000-0005-0000-0000-00007C030000}"/>
    <cellStyle name="Normal 8 18" xfId="903" xr:uid="{00000000-0005-0000-0000-00007D030000}"/>
    <cellStyle name="Normal 8 19" xfId="904" xr:uid="{00000000-0005-0000-0000-00007E030000}"/>
    <cellStyle name="Normal 8 2" xfId="905" xr:uid="{00000000-0005-0000-0000-00007F030000}"/>
    <cellStyle name="Normal 8 20" xfId="906" xr:uid="{00000000-0005-0000-0000-000080030000}"/>
    <cellStyle name="Normal 8 21" xfId="907" xr:uid="{00000000-0005-0000-0000-000081030000}"/>
    <cellStyle name="Normal 8 22" xfId="908" xr:uid="{00000000-0005-0000-0000-000082030000}"/>
    <cellStyle name="Normal 8 23" xfId="909" xr:uid="{00000000-0005-0000-0000-000083030000}"/>
    <cellStyle name="Normal 8 24" xfId="910" xr:uid="{00000000-0005-0000-0000-000084030000}"/>
    <cellStyle name="Normal 8 25" xfId="911" xr:uid="{00000000-0005-0000-0000-000085030000}"/>
    <cellStyle name="Normal 8 26" xfId="912" xr:uid="{00000000-0005-0000-0000-000086030000}"/>
    <cellStyle name="Normal 8 27" xfId="913" xr:uid="{00000000-0005-0000-0000-000087030000}"/>
    <cellStyle name="Normal 8 3" xfId="914" xr:uid="{00000000-0005-0000-0000-000088030000}"/>
    <cellStyle name="Normal 8 4" xfId="915" xr:uid="{00000000-0005-0000-0000-000089030000}"/>
    <cellStyle name="Normal 8 5" xfId="916" xr:uid="{00000000-0005-0000-0000-00008A030000}"/>
    <cellStyle name="Normal 8 6" xfId="917" xr:uid="{00000000-0005-0000-0000-00008B030000}"/>
    <cellStyle name="Normal 8 7" xfId="918" xr:uid="{00000000-0005-0000-0000-00008C030000}"/>
    <cellStyle name="Normal 8 8" xfId="919" xr:uid="{00000000-0005-0000-0000-00008D030000}"/>
    <cellStyle name="Normal 8 9" xfId="920" xr:uid="{00000000-0005-0000-0000-00008E030000}"/>
    <cellStyle name="Normal 9" xfId="921" xr:uid="{00000000-0005-0000-0000-00008F030000}"/>
    <cellStyle name="Normal_4 12 02 Mtg 2002 Revised 2003 Prelim Budget" xfId="3" xr:uid="{00000000-0005-0000-0000-000090030000}"/>
    <cellStyle name="Normal_MORE 2007 Cost Allocations based on 7 7 06 Prelim Budget" xfId="4" xr:uid="{00000000-0005-0000-0000-000091030000}"/>
    <cellStyle name="Normal_MORE 2007 Cost Allocations based on 7 7 06 Prelim Budget 2" xfId="58" xr:uid="{00000000-0005-0000-0000-000092030000}"/>
    <cellStyle name="Note 2" xfId="922" xr:uid="{00000000-0005-0000-0000-000093030000}"/>
    <cellStyle name="Note 2 10" xfId="923" xr:uid="{00000000-0005-0000-0000-000094030000}"/>
    <cellStyle name="Note 2 11" xfId="924" xr:uid="{00000000-0005-0000-0000-000095030000}"/>
    <cellStyle name="Note 2 12" xfId="925" xr:uid="{00000000-0005-0000-0000-000096030000}"/>
    <cellStyle name="Note 2 13" xfId="926" xr:uid="{00000000-0005-0000-0000-000097030000}"/>
    <cellStyle name="Note 2 14" xfId="927" xr:uid="{00000000-0005-0000-0000-000098030000}"/>
    <cellStyle name="Note 2 15" xfId="928" xr:uid="{00000000-0005-0000-0000-000099030000}"/>
    <cellStyle name="Note 2 16" xfId="929" xr:uid="{00000000-0005-0000-0000-00009A030000}"/>
    <cellStyle name="Note 2 17" xfId="930" xr:uid="{00000000-0005-0000-0000-00009B030000}"/>
    <cellStyle name="Note 2 18" xfId="931" xr:uid="{00000000-0005-0000-0000-00009C030000}"/>
    <cellStyle name="Note 2 19" xfId="932" xr:uid="{00000000-0005-0000-0000-00009D030000}"/>
    <cellStyle name="Note 2 2" xfId="933" xr:uid="{00000000-0005-0000-0000-00009E030000}"/>
    <cellStyle name="Note 2 20" xfId="934" xr:uid="{00000000-0005-0000-0000-00009F030000}"/>
    <cellStyle name="Note 2 21" xfId="935" xr:uid="{00000000-0005-0000-0000-0000A0030000}"/>
    <cellStyle name="Note 2 22" xfId="936" xr:uid="{00000000-0005-0000-0000-0000A1030000}"/>
    <cellStyle name="Note 2 23" xfId="937" xr:uid="{00000000-0005-0000-0000-0000A2030000}"/>
    <cellStyle name="Note 2 24" xfId="938" xr:uid="{00000000-0005-0000-0000-0000A3030000}"/>
    <cellStyle name="Note 2 25" xfId="939" xr:uid="{00000000-0005-0000-0000-0000A4030000}"/>
    <cellStyle name="Note 2 26" xfId="940" xr:uid="{00000000-0005-0000-0000-0000A5030000}"/>
    <cellStyle name="Note 2 27" xfId="941" xr:uid="{00000000-0005-0000-0000-0000A6030000}"/>
    <cellStyle name="Note 2 3" xfId="942" xr:uid="{00000000-0005-0000-0000-0000A7030000}"/>
    <cellStyle name="Note 2 4" xfId="943" xr:uid="{00000000-0005-0000-0000-0000A8030000}"/>
    <cellStyle name="Note 2 5" xfId="944" xr:uid="{00000000-0005-0000-0000-0000A9030000}"/>
    <cellStyle name="Note 2 6" xfId="945" xr:uid="{00000000-0005-0000-0000-0000AA030000}"/>
    <cellStyle name="Note 2 7" xfId="946" xr:uid="{00000000-0005-0000-0000-0000AB030000}"/>
    <cellStyle name="Note 2 8" xfId="947" xr:uid="{00000000-0005-0000-0000-0000AC030000}"/>
    <cellStyle name="Note 2 9" xfId="948" xr:uid="{00000000-0005-0000-0000-0000AD030000}"/>
    <cellStyle name="Note 3" xfId="949" xr:uid="{00000000-0005-0000-0000-0000AE030000}"/>
    <cellStyle name="Note 3 10" xfId="950" xr:uid="{00000000-0005-0000-0000-0000AF030000}"/>
    <cellStyle name="Note 3 11" xfId="951" xr:uid="{00000000-0005-0000-0000-0000B0030000}"/>
    <cellStyle name="Note 3 12" xfId="952" xr:uid="{00000000-0005-0000-0000-0000B1030000}"/>
    <cellStyle name="Note 3 13" xfId="953" xr:uid="{00000000-0005-0000-0000-0000B2030000}"/>
    <cellStyle name="Note 3 14" xfId="954" xr:uid="{00000000-0005-0000-0000-0000B3030000}"/>
    <cellStyle name="Note 3 15" xfId="955" xr:uid="{00000000-0005-0000-0000-0000B4030000}"/>
    <cellStyle name="Note 3 16" xfId="956" xr:uid="{00000000-0005-0000-0000-0000B5030000}"/>
    <cellStyle name="Note 3 17" xfId="957" xr:uid="{00000000-0005-0000-0000-0000B6030000}"/>
    <cellStyle name="Note 3 18" xfId="958" xr:uid="{00000000-0005-0000-0000-0000B7030000}"/>
    <cellStyle name="Note 3 19" xfId="959" xr:uid="{00000000-0005-0000-0000-0000B8030000}"/>
    <cellStyle name="Note 3 2" xfId="960" xr:uid="{00000000-0005-0000-0000-0000B9030000}"/>
    <cellStyle name="Note 3 20" xfId="961" xr:uid="{00000000-0005-0000-0000-0000BA030000}"/>
    <cellStyle name="Note 3 21" xfId="962" xr:uid="{00000000-0005-0000-0000-0000BB030000}"/>
    <cellStyle name="Note 3 22" xfId="963" xr:uid="{00000000-0005-0000-0000-0000BC030000}"/>
    <cellStyle name="Note 3 23" xfId="964" xr:uid="{00000000-0005-0000-0000-0000BD030000}"/>
    <cellStyle name="Note 3 24" xfId="965" xr:uid="{00000000-0005-0000-0000-0000BE030000}"/>
    <cellStyle name="Note 3 25" xfId="966" xr:uid="{00000000-0005-0000-0000-0000BF030000}"/>
    <cellStyle name="Note 3 26" xfId="967" xr:uid="{00000000-0005-0000-0000-0000C0030000}"/>
    <cellStyle name="Note 3 27" xfId="968" xr:uid="{00000000-0005-0000-0000-0000C1030000}"/>
    <cellStyle name="Note 3 3" xfId="969" xr:uid="{00000000-0005-0000-0000-0000C2030000}"/>
    <cellStyle name="Note 3 4" xfId="970" xr:uid="{00000000-0005-0000-0000-0000C3030000}"/>
    <cellStyle name="Note 3 5" xfId="971" xr:uid="{00000000-0005-0000-0000-0000C4030000}"/>
    <cellStyle name="Note 3 6" xfId="972" xr:uid="{00000000-0005-0000-0000-0000C5030000}"/>
    <cellStyle name="Note 3 7" xfId="973" xr:uid="{00000000-0005-0000-0000-0000C6030000}"/>
    <cellStyle name="Note 3 8" xfId="974" xr:uid="{00000000-0005-0000-0000-0000C7030000}"/>
    <cellStyle name="Note 3 9" xfId="975" xr:uid="{00000000-0005-0000-0000-0000C8030000}"/>
    <cellStyle name="Note 4" xfId="976" xr:uid="{00000000-0005-0000-0000-0000C9030000}"/>
    <cellStyle name="Note 4 10" xfId="977" xr:uid="{00000000-0005-0000-0000-0000CA030000}"/>
    <cellStyle name="Note 4 11" xfId="978" xr:uid="{00000000-0005-0000-0000-0000CB030000}"/>
    <cellStyle name="Note 4 12" xfId="979" xr:uid="{00000000-0005-0000-0000-0000CC030000}"/>
    <cellStyle name="Note 4 13" xfId="980" xr:uid="{00000000-0005-0000-0000-0000CD030000}"/>
    <cellStyle name="Note 4 14" xfId="981" xr:uid="{00000000-0005-0000-0000-0000CE030000}"/>
    <cellStyle name="Note 4 15" xfId="982" xr:uid="{00000000-0005-0000-0000-0000CF030000}"/>
    <cellStyle name="Note 4 16" xfId="983" xr:uid="{00000000-0005-0000-0000-0000D0030000}"/>
    <cellStyle name="Note 4 17" xfId="984" xr:uid="{00000000-0005-0000-0000-0000D1030000}"/>
    <cellStyle name="Note 4 18" xfId="985" xr:uid="{00000000-0005-0000-0000-0000D2030000}"/>
    <cellStyle name="Note 4 19" xfId="986" xr:uid="{00000000-0005-0000-0000-0000D3030000}"/>
    <cellStyle name="Note 4 2" xfId="987" xr:uid="{00000000-0005-0000-0000-0000D4030000}"/>
    <cellStyle name="Note 4 20" xfId="988" xr:uid="{00000000-0005-0000-0000-0000D5030000}"/>
    <cellStyle name="Note 4 21" xfId="989" xr:uid="{00000000-0005-0000-0000-0000D6030000}"/>
    <cellStyle name="Note 4 22" xfId="990" xr:uid="{00000000-0005-0000-0000-0000D7030000}"/>
    <cellStyle name="Note 4 23" xfId="991" xr:uid="{00000000-0005-0000-0000-0000D8030000}"/>
    <cellStyle name="Note 4 24" xfId="992" xr:uid="{00000000-0005-0000-0000-0000D9030000}"/>
    <cellStyle name="Note 4 25" xfId="993" xr:uid="{00000000-0005-0000-0000-0000DA030000}"/>
    <cellStyle name="Note 4 26" xfId="994" xr:uid="{00000000-0005-0000-0000-0000DB030000}"/>
    <cellStyle name="Note 4 27" xfId="995" xr:uid="{00000000-0005-0000-0000-0000DC030000}"/>
    <cellStyle name="Note 4 3" xfId="996" xr:uid="{00000000-0005-0000-0000-0000DD030000}"/>
    <cellStyle name="Note 4 4" xfId="997" xr:uid="{00000000-0005-0000-0000-0000DE030000}"/>
    <cellStyle name="Note 4 5" xfId="998" xr:uid="{00000000-0005-0000-0000-0000DF030000}"/>
    <cellStyle name="Note 4 6" xfId="999" xr:uid="{00000000-0005-0000-0000-0000E0030000}"/>
    <cellStyle name="Note 4 7" xfId="1000" xr:uid="{00000000-0005-0000-0000-0000E1030000}"/>
    <cellStyle name="Note 4 8" xfId="1001" xr:uid="{00000000-0005-0000-0000-0000E2030000}"/>
    <cellStyle name="Note 4 9" xfId="1002" xr:uid="{00000000-0005-0000-0000-0000E3030000}"/>
    <cellStyle name="Note 5" xfId="1003" xr:uid="{00000000-0005-0000-0000-0000E4030000}"/>
    <cellStyle name="Note 5 10" xfId="1004" xr:uid="{00000000-0005-0000-0000-0000E5030000}"/>
    <cellStyle name="Note 5 11" xfId="1005" xr:uid="{00000000-0005-0000-0000-0000E6030000}"/>
    <cellStyle name="Note 5 12" xfId="1006" xr:uid="{00000000-0005-0000-0000-0000E7030000}"/>
    <cellStyle name="Note 5 13" xfId="1007" xr:uid="{00000000-0005-0000-0000-0000E8030000}"/>
    <cellStyle name="Note 5 14" xfId="1008" xr:uid="{00000000-0005-0000-0000-0000E9030000}"/>
    <cellStyle name="Note 5 15" xfId="1009" xr:uid="{00000000-0005-0000-0000-0000EA030000}"/>
    <cellStyle name="Note 5 16" xfId="1010" xr:uid="{00000000-0005-0000-0000-0000EB030000}"/>
    <cellStyle name="Note 5 17" xfId="1011" xr:uid="{00000000-0005-0000-0000-0000EC030000}"/>
    <cellStyle name="Note 5 18" xfId="1012" xr:uid="{00000000-0005-0000-0000-0000ED030000}"/>
    <cellStyle name="Note 5 19" xfId="1013" xr:uid="{00000000-0005-0000-0000-0000EE030000}"/>
    <cellStyle name="Note 5 2" xfId="1014" xr:uid="{00000000-0005-0000-0000-0000EF030000}"/>
    <cellStyle name="Note 5 20" xfId="1015" xr:uid="{00000000-0005-0000-0000-0000F0030000}"/>
    <cellStyle name="Note 5 21" xfId="1016" xr:uid="{00000000-0005-0000-0000-0000F1030000}"/>
    <cellStyle name="Note 5 22" xfId="1017" xr:uid="{00000000-0005-0000-0000-0000F2030000}"/>
    <cellStyle name="Note 5 23" xfId="1018" xr:uid="{00000000-0005-0000-0000-0000F3030000}"/>
    <cellStyle name="Note 5 24" xfId="1019" xr:uid="{00000000-0005-0000-0000-0000F4030000}"/>
    <cellStyle name="Note 5 25" xfId="1020" xr:uid="{00000000-0005-0000-0000-0000F5030000}"/>
    <cellStyle name="Note 5 26" xfId="1021" xr:uid="{00000000-0005-0000-0000-0000F6030000}"/>
    <cellStyle name="Note 5 27" xfId="1022" xr:uid="{00000000-0005-0000-0000-0000F7030000}"/>
    <cellStyle name="Note 5 3" xfId="1023" xr:uid="{00000000-0005-0000-0000-0000F8030000}"/>
    <cellStyle name="Note 5 4" xfId="1024" xr:uid="{00000000-0005-0000-0000-0000F9030000}"/>
    <cellStyle name="Note 5 5" xfId="1025" xr:uid="{00000000-0005-0000-0000-0000FA030000}"/>
    <cellStyle name="Note 5 6" xfId="1026" xr:uid="{00000000-0005-0000-0000-0000FB030000}"/>
    <cellStyle name="Note 5 7" xfId="1027" xr:uid="{00000000-0005-0000-0000-0000FC030000}"/>
    <cellStyle name="Note 5 8" xfId="1028" xr:uid="{00000000-0005-0000-0000-0000FD030000}"/>
    <cellStyle name="Note 5 9" xfId="1029" xr:uid="{00000000-0005-0000-0000-0000FE030000}"/>
    <cellStyle name="Note 6" xfId="1030" xr:uid="{00000000-0005-0000-0000-0000FF030000}"/>
    <cellStyle name="Note 6 10" xfId="1031" xr:uid="{00000000-0005-0000-0000-000000040000}"/>
    <cellStyle name="Note 6 11" xfId="1032" xr:uid="{00000000-0005-0000-0000-000001040000}"/>
    <cellStyle name="Note 6 12" xfId="1033" xr:uid="{00000000-0005-0000-0000-000002040000}"/>
    <cellStyle name="Note 6 13" xfId="1034" xr:uid="{00000000-0005-0000-0000-000003040000}"/>
    <cellStyle name="Note 6 14" xfId="1035" xr:uid="{00000000-0005-0000-0000-000004040000}"/>
    <cellStyle name="Note 6 15" xfId="1036" xr:uid="{00000000-0005-0000-0000-000005040000}"/>
    <cellStyle name="Note 6 16" xfId="1037" xr:uid="{00000000-0005-0000-0000-000006040000}"/>
    <cellStyle name="Note 6 17" xfId="1038" xr:uid="{00000000-0005-0000-0000-000007040000}"/>
    <cellStyle name="Note 6 18" xfId="1039" xr:uid="{00000000-0005-0000-0000-000008040000}"/>
    <cellStyle name="Note 6 19" xfId="1040" xr:uid="{00000000-0005-0000-0000-000009040000}"/>
    <cellStyle name="Note 6 2" xfId="1041" xr:uid="{00000000-0005-0000-0000-00000A040000}"/>
    <cellStyle name="Note 6 20" xfId="1042" xr:uid="{00000000-0005-0000-0000-00000B040000}"/>
    <cellStyle name="Note 6 21" xfId="1043" xr:uid="{00000000-0005-0000-0000-00000C040000}"/>
    <cellStyle name="Note 6 22" xfId="1044" xr:uid="{00000000-0005-0000-0000-00000D040000}"/>
    <cellStyle name="Note 6 23" xfId="1045" xr:uid="{00000000-0005-0000-0000-00000E040000}"/>
    <cellStyle name="Note 6 24" xfId="1046" xr:uid="{00000000-0005-0000-0000-00000F040000}"/>
    <cellStyle name="Note 6 25" xfId="1047" xr:uid="{00000000-0005-0000-0000-000010040000}"/>
    <cellStyle name="Note 6 26" xfId="1048" xr:uid="{00000000-0005-0000-0000-000011040000}"/>
    <cellStyle name="Note 6 27" xfId="1049" xr:uid="{00000000-0005-0000-0000-000012040000}"/>
    <cellStyle name="Note 6 3" xfId="1050" xr:uid="{00000000-0005-0000-0000-000013040000}"/>
    <cellStyle name="Note 6 4" xfId="1051" xr:uid="{00000000-0005-0000-0000-000014040000}"/>
    <cellStyle name="Note 6 5" xfId="1052" xr:uid="{00000000-0005-0000-0000-000015040000}"/>
    <cellStyle name="Note 6 6" xfId="1053" xr:uid="{00000000-0005-0000-0000-000016040000}"/>
    <cellStyle name="Note 6 7" xfId="1054" xr:uid="{00000000-0005-0000-0000-000017040000}"/>
    <cellStyle name="Note 6 8" xfId="1055" xr:uid="{00000000-0005-0000-0000-000018040000}"/>
    <cellStyle name="Note 6 9" xfId="1056" xr:uid="{00000000-0005-0000-0000-000019040000}"/>
    <cellStyle name="Note 7" xfId="1057" xr:uid="{00000000-0005-0000-0000-00001A040000}"/>
    <cellStyle name="Note 7 10" xfId="1058" xr:uid="{00000000-0005-0000-0000-00001B040000}"/>
    <cellStyle name="Note 7 11" xfId="1059" xr:uid="{00000000-0005-0000-0000-00001C040000}"/>
    <cellStyle name="Note 7 12" xfId="1060" xr:uid="{00000000-0005-0000-0000-00001D040000}"/>
    <cellStyle name="Note 7 13" xfId="1061" xr:uid="{00000000-0005-0000-0000-00001E040000}"/>
    <cellStyle name="Note 7 14" xfId="1062" xr:uid="{00000000-0005-0000-0000-00001F040000}"/>
    <cellStyle name="Note 7 15" xfId="1063" xr:uid="{00000000-0005-0000-0000-000020040000}"/>
    <cellStyle name="Note 7 16" xfId="1064" xr:uid="{00000000-0005-0000-0000-000021040000}"/>
    <cellStyle name="Note 7 17" xfId="1065" xr:uid="{00000000-0005-0000-0000-000022040000}"/>
    <cellStyle name="Note 7 18" xfId="1066" xr:uid="{00000000-0005-0000-0000-000023040000}"/>
    <cellStyle name="Note 7 19" xfId="1067" xr:uid="{00000000-0005-0000-0000-000024040000}"/>
    <cellStyle name="Note 7 2" xfId="1068" xr:uid="{00000000-0005-0000-0000-000025040000}"/>
    <cellStyle name="Note 7 20" xfId="1069" xr:uid="{00000000-0005-0000-0000-000026040000}"/>
    <cellStyle name="Note 7 21" xfId="1070" xr:uid="{00000000-0005-0000-0000-000027040000}"/>
    <cellStyle name="Note 7 22" xfId="1071" xr:uid="{00000000-0005-0000-0000-000028040000}"/>
    <cellStyle name="Note 7 23" xfId="1072" xr:uid="{00000000-0005-0000-0000-000029040000}"/>
    <cellStyle name="Note 7 24" xfId="1073" xr:uid="{00000000-0005-0000-0000-00002A040000}"/>
    <cellStyle name="Note 7 25" xfId="1074" xr:uid="{00000000-0005-0000-0000-00002B040000}"/>
    <cellStyle name="Note 7 26" xfId="1075" xr:uid="{00000000-0005-0000-0000-00002C040000}"/>
    <cellStyle name="Note 7 27" xfId="1076" xr:uid="{00000000-0005-0000-0000-00002D040000}"/>
    <cellStyle name="Note 7 3" xfId="1077" xr:uid="{00000000-0005-0000-0000-00002E040000}"/>
    <cellStyle name="Note 7 4" xfId="1078" xr:uid="{00000000-0005-0000-0000-00002F040000}"/>
    <cellStyle name="Note 7 5" xfId="1079" xr:uid="{00000000-0005-0000-0000-000030040000}"/>
    <cellStyle name="Note 7 6" xfId="1080" xr:uid="{00000000-0005-0000-0000-000031040000}"/>
    <cellStyle name="Note 7 7" xfId="1081" xr:uid="{00000000-0005-0000-0000-000032040000}"/>
    <cellStyle name="Note 7 8" xfId="1082" xr:uid="{00000000-0005-0000-0000-000033040000}"/>
    <cellStyle name="Note 7 9" xfId="1083" xr:uid="{00000000-0005-0000-0000-000034040000}"/>
    <cellStyle name="Output" xfId="27" builtinId="21" customBuiltin="1"/>
    <cellStyle name="Percent" xfId="5" builtinId="5"/>
    <cellStyle name="Percent 2" xfId="63" xr:uid="{00000000-0005-0000-0000-000037040000}"/>
    <cellStyle name="Percent 3" xfId="59" xr:uid="{00000000-0005-0000-0000-000038040000}"/>
    <cellStyle name="Title" xfId="18" builtinId="15" customBuiltin="1"/>
    <cellStyle name="Total" xfId="33" builtinId="25" customBuiltin="1"/>
    <cellStyle name="Warning Text" xfId="31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7"/>
    <pageSetUpPr fitToPage="1"/>
  </sheetPr>
  <dimension ref="A1:J77"/>
  <sheetViews>
    <sheetView tabSelected="1" showRuler="0" zoomScale="85" zoomScaleNormal="85" zoomScalePageLayoutView="90" workbookViewId="0"/>
  </sheetViews>
  <sheetFormatPr defaultColWidth="8.75" defaultRowHeight="14.25"/>
  <cols>
    <col min="1" max="1" width="5.125" customWidth="1"/>
    <col min="2" max="2" width="40.375" bestFit="1" customWidth="1"/>
    <col min="3" max="3" width="1.125" customWidth="1"/>
    <col min="4" max="6" width="18" customWidth="1"/>
    <col min="7" max="7" width="1.125" customWidth="1"/>
    <col min="8" max="8" width="18" style="248" customWidth="1"/>
    <col min="9" max="9" width="33.375" customWidth="1"/>
  </cols>
  <sheetData>
    <row r="1" spans="1:9" ht="15">
      <c r="B1" s="1" t="s">
        <v>0</v>
      </c>
    </row>
    <row r="2" spans="1:9" ht="15">
      <c r="B2" s="241" t="s">
        <v>390</v>
      </c>
    </row>
    <row r="3" spans="1:9" ht="15">
      <c r="B3" s="7">
        <v>44358</v>
      </c>
    </row>
    <row r="4" spans="1:9" ht="5.25" customHeight="1" thickBot="1"/>
    <row r="5" spans="1:9" ht="18" customHeight="1">
      <c r="A5" s="9" t="s">
        <v>1</v>
      </c>
      <c r="B5" s="2"/>
      <c r="C5" s="13"/>
      <c r="D5" s="9" t="s">
        <v>338</v>
      </c>
      <c r="E5" s="9" t="s">
        <v>344</v>
      </c>
      <c r="F5" s="9" t="s">
        <v>2</v>
      </c>
      <c r="G5" s="13"/>
      <c r="H5" s="249" t="s">
        <v>391</v>
      </c>
      <c r="I5" s="3"/>
    </row>
    <row r="6" spans="1:9" ht="18" customHeight="1" thickBot="1">
      <c r="A6" s="10" t="s">
        <v>3</v>
      </c>
      <c r="B6" s="4" t="s">
        <v>4</v>
      </c>
      <c r="C6" s="14"/>
      <c r="D6" s="10" t="s">
        <v>342</v>
      </c>
      <c r="E6" s="10" t="s">
        <v>5</v>
      </c>
      <c r="F6" s="10" t="s">
        <v>342</v>
      </c>
      <c r="G6" s="14"/>
      <c r="H6" s="250">
        <v>2022</v>
      </c>
      <c r="I6" s="5" t="s">
        <v>6</v>
      </c>
    </row>
    <row r="7" spans="1:9" ht="9.75" customHeight="1"/>
    <row r="8" spans="1:9">
      <c r="A8" s="15"/>
      <c r="B8" s="21"/>
      <c r="C8" s="11"/>
      <c r="D8" s="8"/>
      <c r="E8" s="8"/>
      <c r="F8" s="8"/>
      <c r="G8" s="11"/>
      <c r="H8" s="251"/>
      <c r="I8" s="264"/>
    </row>
    <row r="9" spans="1:9" ht="72">
      <c r="A9" s="15">
        <v>1</v>
      </c>
      <c r="B9" s="145" t="s">
        <v>7</v>
      </c>
      <c r="C9" s="11"/>
      <c r="D9" s="251">
        <v>139167</v>
      </c>
      <c r="E9" s="133"/>
      <c r="F9" s="251">
        <v>139167</v>
      </c>
      <c r="G9" s="214"/>
      <c r="H9" s="251">
        <v>144734</v>
      </c>
      <c r="I9" s="127" t="s">
        <v>387</v>
      </c>
    </row>
    <row r="10" spans="1:9" ht="24.75" customHeight="1">
      <c r="A10" s="243">
        <v>2</v>
      </c>
      <c r="B10" s="244" t="s">
        <v>269</v>
      </c>
      <c r="C10" s="11"/>
      <c r="D10" s="251">
        <v>325</v>
      </c>
      <c r="E10" s="8"/>
      <c r="F10" s="251">
        <v>325</v>
      </c>
      <c r="G10" s="214"/>
      <c r="H10" s="251">
        <v>350</v>
      </c>
      <c r="I10" s="266" t="s">
        <v>280</v>
      </c>
    </row>
    <row r="11" spans="1:9" ht="15">
      <c r="A11" s="243">
        <v>3</v>
      </c>
      <c r="B11" s="145" t="s">
        <v>8</v>
      </c>
      <c r="C11" s="156"/>
      <c r="D11" s="156"/>
      <c r="E11" s="156"/>
      <c r="F11" s="156"/>
      <c r="G11" s="217"/>
      <c r="H11" s="267"/>
      <c r="I11" s="267"/>
    </row>
    <row r="12" spans="1:9" s="240" customFormat="1">
      <c r="A12" s="243">
        <v>4</v>
      </c>
      <c r="B12" s="136" t="s">
        <v>266</v>
      </c>
      <c r="C12" s="214"/>
      <c r="D12" s="154">
        <v>8000</v>
      </c>
      <c r="E12" s="213"/>
      <c r="F12" s="280">
        <f>D12+E12</f>
        <v>8000</v>
      </c>
      <c r="G12" s="214"/>
      <c r="H12" s="251">
        <v>8000</v>
      </c>
      <c r="I12" s="266" t="s">
        <v>308</v>
      </c>
    </row>
    <row r="13" spans="1:9" ht="24.75" customHeight="1">
      <c r="A13" s="243">
        <v>5</v>
      </c>
      <c r="B13" s="244" t="s">
        <v>270</v>
      </c>
      <c r="C13" s="11"/>
      <c r="D13" s="154">
        <v>3000</v>
      </c>
      <c r="E13" s="8"/>
      <c r="F13" s="280">
        <f t="shared" ref="F13:F22" si="0">D13+E13</f>
        <v>3000</v>
      </c>
      <c r="G13" s="214"/>
      <c r="H13" s="251">
        <v>3000</v>
      </c>
      <c r="I13" s="266" t="s">
        <v>288</v>
      </c>
    </row>
    <row r="14" spans="1:9" ht="24.75" customHeight="1">
      <c r="A14" s="243">
        <v>6</v>
      </c>
      <c r="B14" s="244" t="s">
        <v>271</v>
      </c>
      <c r="C14" s="11"/>
      <c r="D14" s="154">
        <v>6700</v>
      </c>
      <c r="E14" s="8"/>
      <c r="F14" s="280">
        <f t="shared" si="0"/>
        <v>6700</v>
      </c>
      <c r="G14" s="214"/>
      <c r="H14" s="251">
        <v>6700</v>
      </c>
      <c r="I14" s="266" t="s">
        <v>283</v>
      </c>
    </row>
    <row r="15" spans="1:9" s="240" customFormat="1" ht="61.5" customHeight="1">
      <c r="A15" s="243">
        <v>7</v>
      </c>
      <c r="B15" s="291" t="s">
        <v>316</v>
      </c>
      <c r="C15" s="214"/>
      <c r="D15" s="154">
        <v>50083</v>
      </c>
      <c r="E15" s="213"/>
      <c r="F15" s="280">
        <f t="shared" si="0"/>
        <v>50083</v>
      </c>
      <c r="G15" s="214"/>
      <c r="H15" s="251">
        <v>46096</v>
      </c>
      <c r="I15" s="295" t="s">
        <v>379</v>
      </c>
    </row>
    <row r="16" spans="1:9" s="240" customFormat="1" ht="28.5">
      <c r="A16" s="243">
        <v>8</v>
      </c>
      <c r="B16" s="242" t="s">
        <v>272</v>
      </c>
      <c r="C16" s="214"/>
      <c r="D16" s="154">
        <v>31846</v>
      </c>
      <c r="E16" s="213"/>
      <c r="F16" s="280">
        <f t="shared" si="0"/>
        <v>31846</v>
      </c>
      <c r="G16" s="214"/>
      <c r="H16" s="251">
        <v>33438</v>
      </c>
      <c r="I16" s="127" t="s">
        <v>307</v>
      </c>
    </row>
    <row r="17" spans="1:9" s="240" customFormat="1">
      <c r="A17" s="243">
        <v>9</v>
      </c>
      <c r="B17" s="242" t="s">
        <v>289</v>
      </c>
      <c r="C17" s="214"/>
      <c r="D17" s="251">
        <v>3226</v>
      </c>
      <c r="E17" s="213"/>
      <c r="F17" s="280">
        <f t="shared" si="0"/>
        <v>3226</v>
      </c>
      <c r="G17" s="214"/>
      <c r="H17" s="251">
        <v>3387</v>
      </c>
      <c r="I17" s="265" t="s">
        <v>285</v>
      </c>
    </row>
    <row r="18" spans="1:9" s="240" customFormat="1" ht="28.5">
      <c r="A18" s="243">
        <v>10</v>
      </c>
      <c r="B18" s="291" t="s">
        <v>377</v>
      </c>
      <c r="C18" s="214"/>
      <c r="D18" s="251">
        <v>10596</v>
      </c>
      <c r="E18" s="217"/>
      <c r="F18" s="280">
        <f t="shared" si="0"/>
        <v>10596</v>
      </c>
      <c r="G18" s="214"/>
      <c r="H18" s="251">
        <v>11125</v>
      </c>
      <c r="I18" s="127" t="s">
        <v>378</v>
      </c>
    </row>
    <row r="19" spans="1:9" s="240" customFormat="1" ht="28.5">
      <c r="A19" s="243">
        <v>11</v>
      </c>
      <c r="B19" s="244" t="s">
        <v>317</v>
      </c>
      <c r="C19" s="214"/>
      <c r="D19" s="280">
        <v>11023</v>
      </c>
      <c r="E19" s="213"/>
      <c r="F19" s="280">
        <f t="shared" si="0"/>
        <v>11023</v>
      </c>
      <c r="G19" s="214"/>
      <c r="H19" s="251">
        <v>11524</v>
      </c>
      <c r="I19" s="127" t="s">
        <v>384</v>
      </c>
    </row>
    <row r="20" spans="1:9" s="240" customFormat="1" ht="28.5">
      <c r="A20" s="243">
        <v>12</v>
      </c>
      <c r="B20" s="244" t="s">
        <v>319</v>
      </c>
      <c r="C20" s="214"/>
      <c r="D20" s="251">
        <v>142000</v>
      </c>
      <c r="E20" s="213"/>
      <c r="F20" s="280">
        <f t="shared" si="0"/>
        <v>142000</v>
      </c>
      <c r="G20" s="214"/>
      <c r="H20" s="251">
        <v>142000</v>
      </c>
      <c r="I20" s="127" t="s">
        <v>343</v>
      </c>
    </row>
    <row r="21" spans="1:9" s="240" customFormat="1">
      <c r="A21" s="243">
        <v>13</v>
      </c>
      <c r="B21" s="244" t="s">
        <v>273</v>
      </c>
      <c r="C21" s="214"/>
      <c r="D21" s="280"/>
      <c r="E21" s="213"/>
      <c r="F21" s="280">
        <f t="shared" si="0"/>
        <v>0</v>
      </c>
      <c r="G21" s="214"/>
      <c r="H21" s="251"/>
      <c r="I21" s="268"/>
    </row>
    <row r="22" spans="1:9" s="240" customFormat="1" ht="42.75">
      <c r="A22" s="243">
        <v>14</v>
      </c>
      <c r="B22" s="244" t="s">
        <v>274</v>
      </c>
      <c r="C22" s="214"/>
      <c r="D22" s="280"/>
      <c r="E22" s="75">
        <v>9000</v>
      </c>
      <c r="F22" s="280">
        <f t="shared" si="0"/>
        <v>9000</v>
      </c>
      <c r="G22" s="214"/>
      <c r="H22" s="251">
        <v>0</v>
      </c>
      <c r="I22" s="268" t="s">
        <v>386</v>
      </c>
    </row>
    <row r="23" spans="1:9" ht="42.75">
      <c r="A23" s="243">
        <v>15</v>
      </c>
      <c r="B23" s="244" t="s">
        <v>274</v>
      </c>
      <c r="C23" s="214"/>
      <c r="D23" s="280"/>
      <c r="E23" s="75">
        <v>3500</v>
      </c>
      <c r="F23" s="280">
        <v>3500</v>
      </c>
      <c r="G23" s="214"/>
      <c r="H23" s="251">
        <v>0</v>
      </c>
      <c r="I23" s="268" t="s">
        <v>385</v>
      </c>
    </row>
    <row r="24" spans="1:9" ht="24.75" customHeight="1">
      <c r="A24" s="243">
        <v>16</v>
      </c>
      <c r="B24" s="145" t="s">
        <v>9</v>
      </c>
      <c r="C24" s="156"/>
      <c r="D24" s="252"/>
      <c r="E24" s="156"/>
      <c r="F24" s="156"/>
      <c r="G24" s="217"/>
      <c r="H24" s="260"/>
      <c r="I24" s="267"/>
    </row>
    <row r="25" spans="1:9" ht="63.75">
      <c r="A25" s="243">
        <v>17</v>
      </c>
      <c r="B25" s="21" t="s">
        <v>275</v>
      </c>
      <c r="C25" s="11"/>
      <c r="D25" s="251">
        <v>290000</v>
      </c>
      <c r="E25" s="213"/>
      <c r="F25" s="280">
        <f>D25+E25</f>
        <v>290000</v>
      </c>
      <c r="G25" s="214"/>
      <c r="H25" s="251">
        <v>290000</v>
      </c>
      <c r="I25" s="269" t="s">
        <v>318</v>
      </c>
    </row>
    <row r="26" spans="1:9" s="240" customFormat="1" ht="24.75" customHeight="1">
      <c r="A26" s="243">
        <v>18</v>
      </c>
      <c r="B26" s="21" t="s">
        <v>282</v>
      </c>
      <c r="C26" s="214"/>
      <c r="D26" s="154">
        <v>3500</v>
      </c>
      <c r="E26" s="213"/>
      <c r="F26" s="280">
        <f>D26+E26</f>
        <v>3500</v>
      </c>
      <c r="G26" s="214"/>
      <c r="H26" s="251">
        <v>3500</v>
      </c>
      <c r="I26" s="269" t="s">
        <v>311</v>
      </c>
    </row>
    <row r="27" spans="1:9" ht="24.75" customHeight="1">
      <c r="A27" s="243">
        <v>19</v>
      </c>
      <c r="B27" s="145" t="s">
        <v>10</v>
      </c>
      <c r="C27" s="156"/>
      <c r="D27" s="178"/>
      <c r="E27" s="156"/>
      <c r="F27" s="156"/>
      <c r="G27" s="217"/>
      <c r="H27" s="260"/>
      <c r="I27" s="267"/>
    </row>
    <row r="28" spans="1:9" ht="19.5" customHeight="1">
      <c r="A28" s="243">
        <v>20</v>
      </c>
      <c r="B28" s="21" t="s">
        <v>268</v>
      </c>
      <c r="C28" s="11"/>
      <c r="D28" s="154">
        <v>1000</v>
      </c>
      <c r="E28" s="217"/>
      <c r="F28" s="280">
        <f>D28+E28</f>
        <v>1000</v>
      </c>
      <c r="G28" s="214"/>
      <c r="H28" s="251">
        <v>1000</v>
      </c>
      <c r="I28" s="264" t="s">
        <v>276</v>
      </c>
    </row>
    <row r="29" spans="1:9" ht="51">
      <c r="A29" s="243">
        <v>21</v>
      </c>
      <c r="B29" s="21" t="s">
        <v>11</v>
      </c>
      <c r="C29" s="11"/>
      <c r="D29" s="154">
        <v>10000</v>
      </c>
      <c r="E29" s="213"/>
      <c r="F29" s="280">
        <f>D29+E29</f>
        <v>10000</v>
      </c>
      <c r="G29" s="214"/>
      <c r="H29" s="251">
        <v>7000</v>
      </c>
      <c r="I29" s="264" t="s">
        <v>388</v>
      </c>
    </row>
    <row r="30" spans="1:9" ht="24.75" customHeight="1">
      <c r="A30" s="243">
        <v>22</v>
      </c>
      <c r="B30" s="145" t="s">
        <v>12</v>
      </c>
      <c r="C30" s="156"/>
      <c r="D30" s="178"/>
      <c r="E30" s="156"/>
      <c r="F30" s="156"/>
      <c r="G30" s="217"/>
      <c r="H30" s="260"/>
      <c r="I30" s="267"/>
    </row>
    <row r="31" spans="1:9" ht="24.75" customHeight="1">
      <c r="A31" s="243">
        <v>23</v>
      </c>
      <c r="B31" s="21" t="s">
        <v>13</v>
      </c>
      <c r="C31" s="11"/>
      <c r="D31" s="154">
        <v>3000</v>
      </c>
      <c r="E31" s="217"/>
      <c r="F31" s="280">
        <f>D31+E31</f>
        <v>3000</v>
      </c>
      <c r="G31" s="214"/>
      <c r="H31" s="251">
        <v>3000</v>
      </c>
      <c r="I31" s="264" t="s">
        <v>277</v>
      </c>
    </row>
    <row r="32" spans="1:9" ht="24.75" customHeight="1">
      <c r="A32" s="243">
        <v>24</v>
      </c>
      <c r="B32" s="21" t="s">
        <v>14</v>
      </c>
      <c r="C32" s="11"/>
      <c r="D32" s="251">
        <v>40000</v>
      </c>
      <c r="E32" s="217"/>
      <c r="F32" s="280">
        <f>D32+E32</f>
        <v>40000</v>
      </c>
      <c r="G32" s="214"/>
      <c r="H32" s="251">
        <v>40000</v>
      </c>
      <c r="I32" s="264" t="s">
        <v>301</v>
      </c>
    </row>
    <row r="33" spans="1:10" ht="24.75" customHeight="1">
      <c r="A33" s="243">
        <v>25</v>
      </c>
      <c r="B33" s="22" t="s">
        <v>15</v>
      </c>
      <c r="C33" s="11"/>
      <c r="D33" s="154">
        <v>5000</v>
      </c>
      <c r="E33" s="213"/>
      <c r="F33" s="280">
        <f>D33+E33</f>
        <v>5000</v>
      </c>
      <c r="G33" s="214"/>
      <c r="H33" s="251">
        <v>5000</v>
      </c>
      <c r="I33" s="264"/>
    </row>
    <row r="34" spans="1:10" ht="24.75" customHeight="1">
      <c r="A34" s="243">
        <v>26</v>
      </c>
      <c r="B34" s="145" t="s">
        <v>16</v>
      </c>
      <c r="C34" s="156"/>
      <c r="D34" s="178"/>
      <c r="E34" s="156"/>
      <c r="F34" s="156"/>
      <c r="G34" s="217"/>
      <c r="H34" s="260"/>
      <c r="I34" s="267"/>
    </row>
    <row r="35" spans="1:10" ht="39">
      <c r="A35" s="243">
        <v>27</v>
      </c>
      <c r="B35" s="155" t="s">
        <v>17</v>
      </c>
      <c r="C35" s="11"/>
      <c r="D35" s="251">
        <v>113165</v>
      </c>
      <c r="E35" s="217"/>
      <c r="F35" s="280">
        <f t="shared" ref="F35:F39" si="1">D35+E35</f>
        <v>113165</v>
      </c>
      <c r="G35" s="214"/>
      <c r="H35" s="251">
        <v>131545</v>
      </c>
      <c r="I35" s="264" t="s">
        <v>302</v>
      </c>
    </row>
    <row r="36" spans="1:10" ht="34.5" customHeight="1">
      <c r="A36" s="243">
        <v>28</v>
      </c>
      <c r="B36" s="22" t="s">
        <v>18</v>
      </c>
      <c r="C36" s="12"/>
      <c r="D36" s="154">
        <v>36000</v>
      </c>
      <c r="E36" s="217"/>
      <c r="F36" s="280">
        <f t="shared" si="1"/>
        <v>36000</v>
      </c>
      <c r="G36" s="214"/>
      <c r="H36" s="154">
        <v>36000</v>
      </c>
      <c r="I36" s="264" t="s">
        <v>380</v>
      </c>
    </row>
    <row r="37" spans="1:10" s="240" customFormat="1" ht="34.5" customHeight="1">
      <c r="A37" s="243">
        <v>29</v>
      </c>
      <c r="B37" s="22" t="s">
        <v>310</v>
      </c>
      <c r="C37" s="12"/>
      <c r="D37" s="154">
        <v>18000</v>
      </c>
      <c r="E37" s="217"/>
      <c r="F37" s="280">
        <f t="shared" si="1"/>
        <v>18000</v>
      </c>
      <c r="G37" s="214"/>
      <c r="H37" s="154">
        <v>9000</v>
      </c>
      <c r="I37" s="264" t="s">
        <v>381</v>
      </c>
    </row>
    <row r="38" spans="1:10" ht="15" customHeight="1">
      <c r="A38" s="243">
        <v>30</v>
      </c>
      <c r="B38" s="22" t="s">
        <v>255</v>
      </c>
      <c r="C38" s="12"/>
      <c r="D38" s="154">
        <v>12000</v>
      </c>
      <c r="E38" s="154"/>
      <c r="F38" s="280">
        <f t="shared" si="1"/>
        <v>12000</v>
      </c>
      <c r="G38" s="214"/>
      <c r="H38" s="154">
        <v>12000</v>
      </c>
      <c r="I38" s="264" t="s">
        <v>382</v>
      </c>
    </row>
    <row r="39" spans="1:10" ht="51" customHeight="1">
      <c r="A39" s="243">
        <v>31</v>
      </c>
      <c r="B39" s="22" t="s">
        <v>284</v>
      </c>
      <c r="C39" s="12"/>
      <c r="D39" s="154">
        <v>15000</v>
      </c>
      <c r="E39" s="218"/>
      <c r="F39" s="280">
        <f t="shared" si="1"/>
        <v>15000</v>
      </c>
      <c r="G39" s="214"/>
      <c r="H39" s="154">
        <v>15000</v>
      </c>
      <c r="I39" s="264" t="s">
        <v>383</v>
      </c>
    </row>
    <row r="40" spans="1:10" ht="24.75" customHeight="1">
      <c r="A40" s="243">
        <v>32</v>
      </c>
      <c r="B40" s="157" t="s">
        <v>19</v>
      </c>
      <c r="C40" s="12"/>
      <c r="D40" s="178">
        <f>SUM(D35:D39)</f>
        <v>194165</v>
      </c>
      <c r="E40" s="178"/>
      <c r="F40" s="178">
        <f>SUM(F35:F39)</f>
        <v>194165</v>
      </c>
      <c r="G40" s="12"/>
      <c r="H40" s="260">
        <f>SUM(H35:H39)</f>
        <v>203545</v>
      </c>
      <c r="I40" s="267"/>
    </row>
    <row r="41" spans="1:10" ht="15">
      <c r="A41" s="243">
        <v>33</v>
      </c>
      <c r="B41" s="145" t="s">
        <v>20</v>
      </c>
      <c r="C41" s="156"/>
      <c r="D41" s="156"/>
      <c r="E41" s="156"/>
      <c r="F41" s="156"/>
      <c r="G41" s="156"/>
      <c r="H41" s="261"/>
      <c r="I41" s="267"/>
    </row>
    <row r="42" spans="1:10">
      <c r="A42" s="243">
        <v>34</v>
      </c>
      <c r="B42" s="22" t="s">
        <v>21</v>
      </c>
      <c r="C42" s="11"/>
      <c r="D42" s="217"/>
      <c r="E42" s="217"/>
      <c r="F42" s="213"/>
      <c r="G42" s="11"/>
      <c r="H42" s="276"/>
      <c r="I42" s="271" t="s">
        <v>345</v>
      </c>
    </row>
    <row r="43" spans="1:10">
      <c r="A43" s="243">
        <v>35</v>
      </c>
      <c r="B43" s="22" t="s">
        <v>22</v>
      </c>
      <c r="C43" s="11"/>
      <c r="D43" s="217"/>
      <c r="E43" s="213"/>
      <c r="F43" s="213"/>
      <c r="G43" s="11"/>
      <c r="H43" s="276"/>
      <c r="I43" s="271" t="s">
        <v>346</v>
      </c>
    </row>
    <row r="44" spans="1:10">
      <c r="A44" s="243">
        <v>36</v>
      </c>
      <c r="B44" s="22" t="s">
        <v>23</v>
      </c>
      <c r="C44" s="11"/>
      <c r="D44" s="217"/>
      <c r="E44" s="213"/>
      <c r="F44" s="213"/>
      <c r="G44" s="11"/>
      <c r="H44" s="276"/>
      <c r="I44" s="271" t="s">
        <v>347</v>
      </c>
    </row>
    <row r="45" spans="1:10">
      <c r="A45" s="243">
        <v>37</v>
      </c>
      <c r="B45" s="22" t="s">
        <v>24</v>
      </c>
      <c r="C45" s="11"/>
      <c r="D45" s="262">
        <v>65000</v>
      </c>
      <c r="E45" s="75">
        <v>12500</v>
      </c>
      <c r="F45" s="75">
        <f t="shared" ref="F45" si="2">D45+E45</f>
        <v>77500</v>
      </c>
      <c r="G45" s="11"/>
      <c r="H45" s="262">
        <v>60000</v>
      </c>
      <c r="I45" s="272" t="s">
        <v>389</v>
      </c>
    </row>
    <row r="46" spans="1:10" ht="24.75" customHeight="1" thickBot="1">
      <c r="A46" s="243">
        <v>38</v>
      </c>
      <c r="B46" s="23"/>
      <c r="C46" s="18"/>
      <c r="D46" s="253"/>
      <c r="E46" s="17"/>
      <c r="F46" s="17"/>
      <c r="G46" s="18"/>
      <c r="H46" s="276"/>
      <c r="I46" s="273"/>
      <c r="J46" s="230" t="s">
        <v>363</v>
      </c>
    </row>
    <row r="47" spans="1:10" ht="22.5" customHeight="1" thickBot="1">
      <c r="A47" s="243">
        <v>39</v>
      </c>
      <c r="B47" s="81" t="s">
        <v>25</v>
      </c>
      <c r="C47" s="82"/>
      <c r="D47" s="279">
        <f>SUM(D9:D39)-D45</f>
        <v>887631</v>
      </c>
      <c r="E47" s="144">
        <f>SUM(E9:E39)-E45</f>
        <v>0</v>
      </c>
      <c r="F47" s="144">
        <f>SUM(F9:F39)-F45</f>
        <v>887631</v>
      </c>
      <c r="G47" s="82"/>
      <c r="H47" s="282">
        <f>SUM(H9:H39)-H45</f>
        <v>903399</v>
      </c>
      <c r="I47" s="274" t="s">
        <v>26</v>
      </c>
      <c r="J47" s="329">
        <f>(H47-D47)/D47</f>
        <v>1.7764138476461501E-2</v>
      </c>
    </row>
    <row r="48" spans="1:10" ht="15" customHeight="1">
      <c r="A48" s="243">
        <v>40</v>
      </c>
      <c r="B48" s="26"/>
      <c r="C48" s="20"/>
      <c r="D48" s="254"/>
      <c r="E48" s="19"/>
      <c r="F48" s="19"/>
      <c r="G48" s="20"/>
      <c r="H48" s="276"/>
      <c r="I48" s="275"/>
    </row>
    <row r="49" spans="1:9" ht="24.75" customHeight="1">
      <c r="A49" s="243">
        <v>41</v>
      </c>
      <c r="B49" s="24" t="s">
        <v>267</v>
      </c>
      <c r="C49" s="11"/>
      <c r="D49" s="255">
        <v>224000</v>
      </c>
      <c r="E49" s="8"/>
      <c r="F49" s="167">
        <v>224000</v>
      </c>
      <c r="G49" s="11"/>
      <c r="H49" s="255">
        <v>224000</v>
      </c>
      <c r="I49" s="270"/>
    </row>
    <row r="50" spans="1:9" ht="15.75" customHeight="1" thickBot="1">
      <c r="A50" s="243">
        <v>42</v>
      </c>
      <c r="B50" s="24"/>
      <c r="C50" s="11"/>
      <c r="D50" s="251"/>
      <c r="E50" s="8"/>
      <c r="F50" s="8"/>
      <c r="G50" s="11"/>
      <c r="H50" s="259"/>
      <c r="I50" s="8"/>
    </row>
    <row r="51" spans="1:9" ht="24.75" customHeight="1" thickBot="1">
      <c r="A51" s="243">
        <v>43</v>
      </c>
      <c r="B51" s="25" t="s">
        <v>27</v>
      </c>
      <c r="C51" s="121"/>
      <c r="D51" s="256">
        <f>Carryover!C126</f>
        <v>150748.54999999999</v>
      </c>
      <c r="E51" s="239"/>
      <c r="F51" s="137">
        <f>Carryover!C133+H45</f>
        <v>180148.55</v>
      </c>
      <c r="G51" s="121"/>
      <c r="H51" s="281">
        <f>Carryover!C133</f>
        <v>120148.54999999999</v>
      </c>
      <c r="I51" s="127" t="s">
        <v>28</v>
      </c>
    </row>
    <row r="52" spans="1:9" ht="24.75" customHeight="1">
      <c r="A52" s="243"/>
      <c r="B52" s="21"/>
      <c r="C52" s="11"/>
      <c r="D52" s="19"/>
      <c r="E52" s="19"/>
      <c r="F52" s="19"/>
      <c r="G52" s="11"/>
      <c r="H52" s="263"/>
      <c r="I52" s="8"/>
    </row>
    <row r="53" spans="1:9" ht="6.75" customHeight="1"/>
    <row r="59" spans="1:9" ht="15">
      <c r="A59" s="1"/>
    </row>
    <row r="61" spans="1:9" ht="15">
      <c r="B61" s="1"/>
    </row>
    <row r="72" spans="2:2" ht="24.75" customHeight="1">
      <c r="B72" s="1"/>
    </row>
    <row r="73" spans="2:2" ht="29.25" customHeight="1"/>
    <row r="77" spans="2:2" ht="24" customHeight="1">
      <c r="B77" s="1"/>
    </row>
  </sheetData>
  <phoneticPr fontId="0" type="noConversion"/>
  <printOptions horizontalCentered="1"/>
  <pageMargins left="0.36" right="0.35" top="0.48" bottom="0.56999999999999995" header="0.22" footer="0.27"/>
  <pageSetup scale="78" fitToHeight="2" orientation="landscape" r:id="rId1"/>
  <headerFooter>
    <oddHeader>&amp;C&amp;K0000002022 Recommended MORE Budget</oddHeader>
    <oddFooter>&amp;CPage &amp;P&amp;R2022 Draft MORE Budget.xlsx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3:F140"/>
  <sheetViews>
    <sheetView showRuler="0" zoomScale="83" zoomScaleNormal="83" workbookViewId="0">
      <selection activeCell="A7" sqref="A7"/>
    </sheetView>
  </sheetViews>
  <sheetFormatPr defaultColWidth="8.75" defaultRowHeight="14.25"/>
  <cols>
    <col min="1" max="1" width="5.125" customWidth="1"/>
    <col min="2" max="2" width="43.625" customWidth="1"/>
    <col min="3" max="3" width="17.875" customWidth="1"/>
    <col min="4" max="4" width="3.75" customWidth="1"/>
    <col min="5" max="5" width="13.625" customWidth="1"/>
    <col min="6" max="6" width="15.875" customWidth="1"/>
    <col min="7" max="7" width="1.125" customWidth="1"/>
    <col min="8" max="9" width="18" customWidth="1"/>
  </cols>
  <sheetData>
    <row r="3" spans="1:6" ht="15">
      <c r="E3" s="292"/>
    </row>
    <row r="4" spans="1:6" ht="15">
      <c r="E4" s="292"/>
    </row>
    <row r="5" spans="1:6" s="240" customFormat="1" ht="15">
      <c r="E5" s="292" t="s">
        <v>234</v>
      </c>
    </row>
    <row r="6" spans="1:6" s="240" customFormat="1" ht="15">
      <c r="E6" s="292" t="s">
        <v>321</v>
      </c>
    </row>
    <row r="7" spans="1:6" ht="15">
      <c r="A7" s="1" t="s">
        <v>29</v>
      </c>
      <c r="E7" s="176" t="s">
        <v>322</v>
      </c>
    </row>
    <row r="8" spans="1:6" ht="15.75" thickBot="1">
      <c r="E8" s="176" t="s">
        <v>30</v>
      </c>
      <c r="F8" s="179" t="s">
        <v>31</v>
      </c>
    </row>
    <row r="9" spans="1:6" ht="15.75" hidden="1" thickBot="1">
      <c r="B9" s="1" t="s">
        <v>32</v>
      </c>
      <c r="C9" s="123">
        <v>490267.7</v>
      </c>
      <c r="F9" s="169">
        <v>300000</v>
      </c>
    </row>
    <row r="10" spans="1:6" hidden="1">
      <c r="B10" t="s">
        <v>33</v>
      </c>
      <c r="C10" s="124">
        <v>-300000</v>
      </c>
    </row>
    <row r="11" spans="1:6" hidden="1">
      <c r="B11" t="s">
        <v>34</v>
      </c>
      <c r="C11" s="124">
        <v>-46260</v>
      </c>
    </row>
    <row r="12" spans="1:6" hidden="1">
      <c r="B12" t="s">
        <v>35</v>
      </c>
      <c r="C12" s="124">
        <v>43000</v>
      </c>
    </row>
    <row r="13" spans="1:6" hidden="1">
      <c r="B13" t="s">
        <v>36</v>
      </c>
      <c r="C13" s="124">
        <v>18000</v>
      </c>
    </row>
    <row r="14" spans="1:6" hidden="1">
      <c r="B14" t="s">
        <v>37</v>
      </c>
      <c r="C14" s="125">
        <v>27000</v>
      </c>
    </row>
    <row r="15" spans="1:6" hidden="1">
      <c r="B15" t="s">
        <v>38</v>
      </c>
      <c r="C15" s="125">
        <v>18000</v>
      </c>
    </row>
    <row r="16" spans="1:6" hidden="1">
      <c r="B16" t="s">
        <v>39</v>
      </c>
      <c r="C16" s="125">
        <v>27000</v>
      </c>
    </row>
    <row r="17" spans="2:5" hidden="1">
      <c r="B17" t="s">
        <v>40</v>
      </c>
      <c r="C17" s="125">
        <v>-32950</v>
      </c>
    </row>
    <row r="18" spans="2:5" hidden="1">
      <c r="B18" t="s">
        <v>41</v>
      </c>
      <c r="C18" s="125">
        <v>-6544</v>
      </c>
    </row>
    <row r="19" spans="2:5" ht="15" hidden="1" thickBot="1">
      <c r="B19" t="s">
        <v>42</v>
      </c>
      <c r="C19" s="125">
        <v>30177.18</v>
      </c>
    </row>
    <row r="20" spans="2:5" ht="24.75" hidden="1" customHeight="1" thickBot="1">
      <c r="B20" s="1" t="s">
        <v>43</v>
      </c>
      <c r="C20" s="122">
        <f>SUM(C9:C19)</f>
        <v>267690.88</v>
      </c>
      <c r="E20" s="122">
        <f>C20+300000</f>
        <v>567690.88</v>
      </c>
    </row>
    <row r="21" spans="2:5" ht="29.25" hidden="1" customHeight="1">
      <c r="B21" t="s">
        <v>44</v>
      </c>
      <c r="C21" s="120">
        <v>-104250</v>
      </c>
    </row>
    <row r="22" spans="2:5" hidden="1">
      <c r="B22" t="s">
        <v>45</v>
      </c>
      <c r="C22" s="124">
        <v>-4853</v>
      </c>
    </row>
    <row r="23" spans="2:5" hidden="1">
      <c r="B23" t="s">
        <v>46</v>
      </c>
      <c r="C23" s="124">
        <v>31500</v>
      </c>
    </row>
    <row r="24" spans="2:5" hidden="1">
      <c r="B24" t="s">
        <v>47</v>
      </c>
      <c r="C24" s="124">
        <v>27000</v>
      </c>
    </row>
    <row r="25" spans="2:5" hidden="1">
      <c r="B25" t="s">
        <v>40</v>
      </c>
      <c r="C25" s="124">
        <v>-23507</v>
      </c>
    </row>
    <row r="26" spans="2:5" hidden="1">
      <c r="B26" t="s">
        <v>48</v>
      </c>
      <c r="C26" s="124">
        <v>-3029</v>
      </c>
    </row>
    <row r="27" spans="2:5" ht="15" hidden="1" thickBot="1">
      <c r="B27" t="s">
        <v>49</v>
      </c>
      <c r="C27" s="124">
        <v>-27524.5</v>
      </c>
    </row>
    <row r="28" spans="2:5" ht="24" hidden="1" customHeight="1" thickBot="1">
      <c r="B28" s="50" t="s">
        <v>50</v>
      </c>
      <c r="C28" s="122">
        <f>SUM(C20:C27)</f>
        <v>163027.38</v>
      </c>
      <c r="E28" s="122">
        <f>C28+300000</f>
        <v>463027.38</v>
      </c>
    </row>
    <row r="29" spans="2:5" ht="31.5" hidden="1" customHeight="1">
      <c r="B29" t="s">
        <v>51</v>
      </c>
      <c r="C29" s="126">
        <f>-5918-12500-1294.81-259-3500</f>
        <v>-23471.81</v>
      </c>
    </row>
    <row r="30" spans="2:5" hidden="1">
      <c r="B30" t="s">
        <v>52</v>
      </c>
      <c r="C30" s="124">
        <v>-6312</v>
      </c>
      <c r="D30" t="s">
        <v>53</v>
      </c>
    </row>
    <row r="31" spans="2:5" hidden="1">
      <c r="B31" t="s">
        <v>54</v>
      </c>
      <c r="C31" s="124">
        <v>40500</v>
      </c>
      <c r="D31" t="s">
        <v>55</v>
      </c>
    </row>
    <row r="32" spans="2:5" hidden="1">
      <c r="B32" t="s">
        <v>56</v>
      </c>
      <c r="C32" s="124">
        <v>18000</v>
      </c>
      <c r="D32" t="s">
        <v>55</v>
      </c>
    </row>
    <row r="33" spans="2:5" hidden="1">
      <c r="B33" t="s">
        <v>57</v>
      </c>
      <c r="C33" s="124">
        <v>31500</v>
      </c>
      <c r="D33" t="s">
        <v>58</v>
      </c>
      <c r="E33" s="128" t="s">
        <v>59</v>
      </c>
    </row>
    <row r="34" spans="2:5" hidden="1">
      <c r="B34" t="s">
        <v>60</v>
      </c>
      <c r="C34" s="124">
        <v>18000</v>
      </c>
      <c r="D34" t="s">
        <v>55</v>
      </c>
    </row>
    <row r="35" spans="2:5" hidden="1">
      <c r="B35" t="s">
        <v>61</v>
      </c>
      <c r="C35" s="124">
        <v>54000</v>
      </c>
      <c r="D35" t="s">
        <v>55</v>
      </c>
    </row>
    <row r="36" spans="2:5" hidden="1">
      <c r="B36" t="s">
        <v>62</v>
      </c>
      <c r="C36" s="124">
        <v>13500</v>
      </c>
      <c r="D36" t="s">
        <v>63</v>
      </c>
    </row>
    <row r="37" spans="2:5" hidden="1">
      <c r="B37" t="s">
        <v>64</v>
      </c>
      <c r="C37" s="124">
        <v>-117625</v>
      </c>
    </row>
    <row r="38" spans="2:5" hidden="1">
      <c r="B38" t="s">
        <v>40</v>
      </c>
      <c r="C38" s="124">
        <f>-18750-6750-6750-1462.5</f>
        <v>-33712.5</v>
      </c>
    </row>
    <row r="39" spans="2:5" hidden="1">
      <c r="B39" t="s">
        <v>48</v>
      </c>
      <c r="C39" s="124">
        <f>-11017.27-1150.34</f>
        <v>-12167.61</v>
      </c>
    </row>
    <row r="40" spans="2:5" hidden="1">
      <c r="B40" t="s">
        <v>65</v>
      </c>
      <c r="C40" s="124">
        <v>-3376.25</v>
      </c>
    </row>
    <row r="41" spans="2:5" hidden="1">
      <c r="B41" t="s">
        <v>66</v>
      </c>
      <c r="C41" s="124">
        <v>-11625</v>
      </c>
    </row>
    <row r="42" spans="2:5" ht="15" hidden="1" thickBot="1">
      <c r="B42" t="s">
        <v>67</v>
      </c>
      <c r="C42">
        <v>3240.49</v>
      </c>
    </row>
    <row r="43" spans="2:5" ht="30.75" hidden="1" customHeight="1" thickBot="1">
      <c r="B43" s="50" t="s">
        <v>68</v>
      </c>
      <c r="C43" s="122">
        <f>SUM(C28:C42)</f>
        <v>133477.70000000001</v>
      </c>
      <c r="E43" s="122">
        <f>C43+300000</f>
        <v>433477.7</v>
      </c>
    </row>
    <row r="44" spans="2:5" ht="29.25" hidden="1" customHeight="1">
      <c r="B44" t="s">
        <v>69</v>
      </c>
      <c r="C44" s="126">
        <f>-13125-79875-9000</f>
        <v>-102000</v>
      </c>
    </row>
    <row r="45" spans="2:5" hidden="1">
      <c r="B45" t="s">
        <v>70</v>
      </c>
      <c r="C45" s="124">
        <v>-18286.02</v>
      </c>
    </row>
    <row r="46" spans="2:5" hidden="1">
      <c r="B46" t="s">
        <v>71</v>
      </c>
      <c r="C46" s="124">
        <v>-3623.75</v>
      </c>
    </row>
    <row r="47" spans="2:5" hidden="1">
      <c r="B47" t="s">
        <v>72</v>
      </c>
      <c r="C47" s="124">
        <v>88678</v>
      </c>
    </row>
    <row r="48" spans="2:5" hidden="1">
      <c r="B48" t="s">
        <v>73</v>
      </c>
      <c r="C48" s="124">
        <v>-20825</v>
      </c>
    </row>
    <row r="49" spans="2:6" hidden="1">
      <c r="B49" t="s">
        <v>74</v>
      </c>
      <c r="C49" s="124">
        <v>-2125</v>
      </c>
    </row>
    <row r="50" spans="2:6" hidden="1">
      <c r="B50" t="s">
        <v>75</v>
      </c>
      <c r="C50" s="124">
        <v>-877.94</v>
      </c>
    </row>
    <row r="51" spans="2:6" hidden="1">
      <c r="B51" t="s">
        <v>76</v>
      </c>
      <c r="C51" s="124">
        <v>-3000</v>
      </c>
    </row>
    <row r="52" spans="2:6" hidden="1">
      <c r="B52" t="s">
        <v>77</v>
      </c>
      <c r="C52" s="124">
        <v>-15000</v>
      </c>
    </row>
    <row r="53" spans="2:6" ht="15" hidden="1" thickBot="1">
      <c r="B53" t="s">
        <v>78</v>
      </c>
      <c r="C53" s="124">
        <v>11626.97</v>
      </c>
    </row>
    <row r="54" spans="2:6" ht="30.75" hidden="1" customHeight="1" thickBot="1">
      <c r="B54" s="50" t="s">
        <v>79</v>
      </c>
      <c r="C54" s="122">
        <f>SUM(C43:C53)</f>
        <v>68044.960000000006</v>
      </c>
      <c r="E54" s="122">
        <f>C54+300000</f>
        <v>368044.96</v>
      </c>
      <c r="F54" s="169">
        <v>300000</v>
      </c>
    </row>
    <row r="55" spans="2:6" ht="28.5" hidden="1" customHeight="1">
      <c r="B55" t="s">
        <v>80</v>
      </c>
      <c r="C55" s="126">
        <v>-40850</v>
      </c>
    </row>
    <row r="56" spans="2:6" hidden="1">
      <c r="B56" t="s">
        <v>72</v>
      </c>
      <c r="C56" s="124">
        <v>30678</v>
      </c>
    </row>
    <row r="57" spans="2:6" hidden="1">
      <c r="B57" t="s">
        <v>81</v>
      </c>
      <c r="C57" s="124">
        <v>13500</v>
      </c>
    </row>
    <row r="58" spans="2:6" hidden="1">
      <c r="B58" t="s">
        <v>82</v>
      </c>
      <c r="C58" s="151">
        <v>-4950</v>
      </c>
    </row>
    <row r="59" spans="2:6" ht="15" hidden="1" thickBot="1">
      <c r="B59" t="s">
        <v>83</v>
      </c>
      <c r="C59" s="151">
        <v>5394.93</v>
      </c>
      <c r="F59" s="179" t="s">
        <v>31</v>
      </c>
    </row>
    <row r="60" spans="2:6" ht="30.75" hidden="1" customHeight="1" thickBot="1">
      <c r="B60" s="50" t="s">
        <v>84</v>
      </c>
      <c r="C60" s="122">
        <f>SUM(C54:C59)</f>
        <v>71817.890000000014</v>
      </c>
      <c r="E60" s="122">
        <f>C60+300000</f>
        <v>371817.89</v>
      </c>
      <c r="F60" s="169">
        <v>300000</v>
      </c>
    </row>
    <row r="61" spans="2:6" ht="27.75" hidden="1" customHeight="1"/>
    <row r="62" spans="2:6" hidden="1">
      <c r="B62" t="s">
        <v>85</v>
      </c>
      <c r="C62" s="126">
        <v>-14000</v>
      </c>
    </row>
    <row r="63" spans="2:6" hidden="1">
      <c r="B63" t="s">
        <v>86</v>
      </c>
      <c r="C63" s="120">
        <v>27000</v>
      </c>
    </row>
    <row r="64" spans="2:6" hidden="1">
      <c r="B64" t="s">
        <v>87</v>
      </c>
      <c r="C64" s="120">
        <v>36000</v>
      </c>
    </row>
    <row r="65" spans="2:6" hidden="1">
      <c r="B65" t="s">
        <v>88</v>
      </c>
      <c r="C65" s="120">
        <v>-7500</v>
      </c>
    </row>
    <row r="66" spans="2:6" hidden="1">
      <c r="B66" t="s">
        <v>89</v>
      </c>
      <c r="C66" s="120">
        <v>-7500</v>
      </c>
    </row>
    <row r="67" spans="2:6" hidden="1">
      <c r="B67" t="s">
        <v>90</v>
      </c>
      <c r="C67" s="124">
        <v>-944</v>
      </c>
    </row>
    <row r="68" spans="2:6" ht="15" hidden="1" thickBot="1">
      <c r="B68" s="180" t="s">
        <v>91</v>
      </c>
      <c r="C68" s="168">
        <v>-25401.83</v>
      </c>
      <c r="E68" s="170"/>
      <c r="F68" s="179" t="s">
        <v>31</v>
      </c>
    </row>
    <row r="69" spans="2:6" ht="30.75" hidden="1" customHeight="1" thickBot="1">
      <c r="B69" s="215" t="s">
        <v>262</v>
      </c>
      <c r="C69" s="122">
        <f>E60-F60+SUM(C62:C68)</f>
        <v>79472.060000000012</v>
      </c>
      <c r="E69" s="122">
        <f>C69+298509</f>
        <v>377981.06</v>
      </c>
      <c r="F69" s="169">
        <v>280317</v>
      </c>
    </row>
    <row r="70" spans="2:6" ht="27.75" hidden="1" customHeight="1"/>
    <row r="71" spans="2:6" hidden="1">
      <c r="B71" t="s">
        <v>92</v>
      </c>
      <c r="C71" s="126">
        <v>0</v>
      </c>
    </row>
    <row r="72" spans="2:6" hidden="1">
      <c r="B72" t="s">
        <v>93</v>
      </c>
      <c r="C72" s="120">
        <v>12000</v>
      </c>
    </row>
    <row r="73" spans="2:6" hidden="1">
      <c r="B73" t="s">
        <v>94</v>
      </c>
      <c r="C73" s="124">
        <v>-6496</v>
      </c>
    </row>
    <row r="74" spans="2:6" hidden="1">
      <c r="B74" s="180" t="s">
        <v>95</v>
      </c>
      <c r="C74" s="124">
        <v>-11596</v>
      </c>
      <c r="E74" s="170"/>
      <c r="F74" s="179"/>
    </row>
    <row r="75" spans="2:6" ht="15" hidden="1" thickBot="1">
      <c r="B75" s="180" t="s">
        <v>96</v>
      </c>
      <c r="C75" s="124">
        <f>19783.51-4975</f>
        <v>14808.509999999998</v>
      </c>
      <c r="E75" s="170"/>
      <c r="F75" s="179" t="s">
        <v>31</v>
      </c>
    </row>
    <row r="76" spans="2:6" ht="30.75" hidden="1" customHeight="1" thickBot="1">
      <c r="B76" s="215" t="s">
        <v>263</v>
      </c>
      <c r="C76" s="122">
        <f>E69-F69+SUM(C71:C75)</f>
        <v>106380.56999999999</v>
      </c>
      <c r="E76" s="122">
        <f>C76+F76</f>
        <v>306380.57</v>
      </c>
      <c r="F76" s="169">
        <v>200000</v>
      </c>
    </row>
    <row r="77" spans="2:6" ht="27.75" hidden="1" customHeight="1"/>
    <row r="78" spans="2:6" hidden="1">
      <c r="B78" t="s">
        <v>97</v>
      </c>
      <c r="C78" s="126">
        <v>-29950</v>
      </c>
    </row>
    <row r="79" spans="2:6" hidden="1">
      <c r="B79" t="s">
        <v>93</v>
      </c>
      <c r="C79" s="120">
        <v>6000</v>
      </c>
    </row>
    <row r="80" spans="2:6" hidden="1">
      <c r="B80" t="s">
        <v>98</v>
      </c>
      <c r="C80" s="124">
        <v>0</v>
      </c>
    </row>
    <row r="81" spans="2:6" ht="15" hidden="1" thickBot="1">
      <c r="B81" s="240" t="s">
        <v>257</v>
      </c>
      <c r="C81" s="124">
        <v>33048.75</v>
      </c>
      <c r="E81" s="170"/>
      <c r="F81" s="179" t="s">
        <v>31</v>
      </c>
    </row>
    <row r="82" spans="2:6" ht="30.75" hidden="1" customHeight="1" thickBot="1">
      <c r="B82" s="215" t="s">
        <v>264</v>
      </c>
      <c r="C82" s="122">
        <f>SUM(C76:C81)</f>
        <v>115479.31999999999</v>
      </c>
      <c r="E82" s="122">
        <f>C82+F82</f>
        <v>315479.32</v>
      </c>
      <c r="F82" s="169">
        <v>200000</v>
      </c>
    </row>
    <row r="83" spans="2:6" ht="27.75" hidden="1" customHeight="1"/>
    <row r="84" spans="2:6" hidden="1">
      <c r="B84" s="237" t="s">
        <v>260</v>
      </c>
      <c r="C84" s="126">
        <v>-32500</v>
      </c>
    </row>
    <row r="85" spans="2:6" s="240" customFormat="1" hidden="1">
      <c r="B85" s="237" t="s">
        <v>261</v>
      </c>
      <c r="C85" s="238">
        <v>-2300.44</v>
      </c>
    </row>
    <row r="86" spans="2:6" s="240" customFormat="1" hidden="1">
      <c r="B86" s="240" t="s">
        <v>265</v>
      </c>
      <c r="C86" s="238">
        <f>-12000+0</f>
        <v>-12000</v>
      </c>
    </row>
    <row r="87" spans="2:6" hidden="1">
      <c r="B87" s="240" t="s">
        <v>259</v>
      </c>
      <c r="C87" s="120">
        <v>0</v>
      </c>
    </row>
    <row r="88" spans="2:6" hidden="1">
      <c r="B88" s="180" t="s">
        <v>99</v>
      </c>
      <c r="C88" s="124">
        <v>0</v>
      </c>
    </row>
    <row r="89" spans="2:6" s="240" customFormat="1" hidden="1">
      <c r="B89" s="240" t="s">
        <v>281</v>
      </c>
      <c r="C89" s="225">
        <f>76561.19-68678.88</f>
        <v>7882.3099999999977</v>
      </c>
    </row>
    <row r="90" spans="2:6" ht="15" hidden="1" thickBot="1">
      <c r="B90" s="180"/>
      <c r="C90" s="124">
        <v>0</v>
      </c>
      <c r="E90" s="170"/>
      <c r="F90" s="179" t="s">
        <v>31</v>
      </c>
    </row>
    <row r="91" spans="2:6" ht="30.75" hidden="1" customHeight="1" thickBot="1">
      <c r="B91" s="215" t="s">
        <v>291</v>
      </c>
      <c r="C91" s="122">
        <f>SUM(C82:C90)</f>
        <v>76561.189999999988</v>
      </c>
      <c r="E91" s="122">
        <f>C91+F91</f>
        <v>300561.19</v>
      </c>
      <c r="F91" s="169">
        <v>224000</v>
      </c>
    </row>
    <row r="92" spans="2:6" ht="27.75" hidden="1" customHeight="1"/>
    <row r="93" spans="2:6" hidden="1">
      <c r="B93" s="240" t="s">
        <v>258</v>
      </c>
      <c r="C93" s="226">
        <v>-15000</v>
      </c>
      <c r="D93" s="240"/>
      <c r="E93" s="240"/>
      <c r="F93" s="240"/>
    </row>
    <row r="94" spans="2:6" s="240" customFormat="1" hidden="1">
      <c r="B94" s="231" t="s">
        <v>297</v>
      </c>
      <c r="C94" s="226">
        <v>-26950</v>
      </c>
    </row>
    <row r="95" spans="2:6" s="240" customFormat="1" hidden="1">
      <c r="C95" s="225">
        <v>0</v>
      </c>
    </row>
    <row r="96" spans="2:6" ht="15" hidden="1" thickBot="1">
      <c r="B96" s="240" t="s">
        <v>286</v>
      </c>
      <c r="C96" s="225">
        <v>35676.6</v>
      </c>
      <c r="D96" s="240"/>
      <c r="E96" s="229"/>
      <c r="F96" s="230" t="s">
        <v>31</v>
      </c>
    </row>
    <row r="97" spans="2:6" ht="30.75" hidden="1" customHeight="1" thickBot="1">
      <c r="B97" s="215" t="s">
        <v>292</v>
      </c>
      <c r="C97" s="224">
        <f>SUM(C91:C96)</f>
        <v>70287.789999999979</v>
      </c>
      <c r="D97" s="240"/>
      <c r="E97" s="224">
        <f>C97+F97</f>
        <v>294287.78999999998</v>
      </c>
      <c r="F97" s="228">
        <v>224000</v>
      </c>
    </row>
    <row r="98" spans="2:6" ht="27.75" hidden="1" customHeight="1"/>
    <row r="99" spans="2:6" hidden="1">
      <c r="B99" s="231" t="s">
        <v>290</v>
      </c>
      <c r="C99" s="226">
        <v>0</v>
      </c>
      <c r="D99" s="240"/>
      <c r="E99" s="240"/>
      <c r="F99" s="240"/>
    </row>
    <row r="100" spans="2:6" hidden="1">
      <c r="B100" s="231" t="s">
        <v>294</v>
      </c>
      <c r="C100" s="225">
        <v>-7356.78</v>
      </c>
      <c r="D100" s="240"/>
      <c r="E100" s="240"/>
      <c r="F100" s="240"/>
    </row>
    <row r="101" spans="2:6" ht="15" hidden="1" thickBot="1">
      <c r="B101" s="231"/>
      <c r="C101" s="225">
        <v>0</v>
      </c>
      <c r="D101" s="240"/>
      <c r="E101" s="229"/>
      <c r="F101" s="230" t="s">
        <v>31</v>
      </c>
    </row>
    <row r="102" spans="2:6" ht="30" hidden="1" customHeight="1" thickBot="1">
      <c r="B102" s="215" t="s">
        <v>293</v>
      </c>
      <c r="C102" s="224">
        <f>SUM(C97:C101)</f>
        <v>62931.00999999998</v>
      </c>
      <c r="D102" s="240"/>
      <c r="E102" s="224">
        <f>C102+F102</f>
        <v>286931.01</v>
      </c>
      <c r="F102" s="228">
        <v>224000</v>
      </c>
    </row>
    <row r="103" spans="2:6" ht="27.75" hidden="1" customHeight="1"/>
    <row r="104" spans="2:6" hidden="1">
      <c r="B104" s="231" t="s">
        <v>295</v>
      </c>
      <c r="C104" s="293">
        <v>0</v>
      </c>
      <c r="D104" s="240"/>
      <c r="E104" s="240"/>
      <c r="F104" s="240"/>
    </row>
    <row r="105" spans="2:6" hidden="1">
      <c r="B105" s="231" t="s">
        <v>306</v>
      </c>
      <c r="C105" s="226">
        <v>0</v>
      </c>
      <c r="D105" s="240"/>
      <c r="E105" s="240"/>
      <c r="F105" s="277">
        <v>35990</v>
      </c>
    </row>
    <row r="106" spans="2:6" hidden="1">
      <c r="B106" s="231" t="s">
        <v>296</v>
      </c>
      <c r="C106" s="225">
        <v>25924.240000000002</v>
      </c>
      <c r="D106" s="240"/>
      <c r="E106" s="240"/>
      <c r="F106" s="240"/>
    </row>
    <row r="107" spans="2:6" ht="15" hidden="1" thickBot="1">
      <c r="B107" s="231"/>
      <c r="C107" s="225">
        <v>0</v>
      </c>
      <c r="D107" s="240"/>
      <c r="E107" s="229"/>
      <c r="F107" s="230" t="s">
        <v>31</v>
      </c>
    </row>
    <row r="108" spans="2:6" ht="30.75" hidden="1" customHeight="1" thickBot="1">
      <c r="B108" s="215" t="s">
        <v>304</v>
      </c>
      <c r="C108" s="224">
        <f>SUM(C102:C107)</f>
        <v>88855.249999999985</v>
      </c>
      <c r="D108" s="240"/>
      <c r="E108" s="224">
        <f>C108+F108</f>
        <v>348845.25</v>
      </c>
      <c r="F108" s="228">
        <f>224000+35990</f>
        <v>259990</v>
      </c>
    </row>
    <row r="109" spans="2:6" ht="27" hidden="1" customHeight="1"/>
    <row r="110" spans="2:6" hidden="1">
      <c r="B110" s="231" t="s">
        <v>298</v>
      </c>
      <c r="C110" s="226">
        <v>35990</v>
      </c>
      <c r="D110" s="240"/>
      <c r="E110" s="240"/>
      <c r="F110" s="240"/>
    </row>
    <row r="111" spans="2:6" hidden="1">
      <c r="B111" s="231" t="s">
        <v>305</v>
      </c>
      <c r="C111" s="226">
        <v>0</v>
      </c>
      <c r="D111" s="240"/>
      <c r="E111" s="240"/>
      <c r="F111" s="240"/>
    </row>
    <row r="112" spans="2:6" hidden="1">
      <c r="B112" s="231" t="s">
        <v>299</v>
      </c>
      <c r="C112" s="225">
        <v>28913.82</v>
      </c>
      <c r="D112" s="240"/>
      <c r="E112" s="240"/>
      <c r="F112" s="240"/>
    </row>
    <row r="113" spans="2:6" ht="15" hidden="1" thickBot="1">
      <c r="B113" s="231"/>
      <c r="C113" s="225">
        <v>0</v>
      </c>
      <c r="D113" s="240"/>
      <c r="E113" s="229"/>
      <c r="F113" s="230" t="s">
        <v>31</v>
      </c>
    </row>
    <row r="114" spans="2:6" ht="30.75" customHeight="1" thickBot="1">
      <c r="B114" s="215" t="s">
        <v>358</v>
      </c>
      <c r="C114" s="312">
        <f>SUM(C108:C113)</f>
        <v>153759.06999999998</v>
      </c>
      <c r="D114" s="240"/>
      <c r="E114" s="313">
        <f>C114+F114</f>
        <v>377759.06999999995</v>
      </c>
      <c r="F114" s="312">
        <v>224000</v>
      </c>
    </row>
    <row r="115" spans="2:6" ht="27" customHeight="1"/>
    <row r="116" spans="2:6">
      <c r="B116" s="231" t="s">
        <v>355</v>
      </c>
      <c r="C116" s="226">
        <v>-20500</v>
      </c>
      <c r="D116" s="240"/>
      <c r="E116" s="240"/>
      <c r="F116" s="240"/>
    </row>
    <row r="117" spans="2:6">
      <c r="B117" s="231" t="s">
        <v>352</v>
      </c>
      <c r="C117" s="226">
        <v>-2500</v>
      </c>
      <c r="D117" s="240"/>
      <c r="E117" s="240"/>
      <c r="F117" s="240"/>
    </row>
    <row r="118" spans="2:6">
      <c r="B118" s="231" t="s">
        <v>350</v>
      </c>
      <c r="C118" s="225">
        <v>-17948.490000000002</v>
      </c>
      <c r="D118" s="240"/>
      <c r="E118" s="240"/>
      <c r="F118" s="240"/>
    </row>
    <row r="119" spans="2:6" ht="15" thickBot="1">
      <c r="B119" s="231"/>
      <c r="C119" s="225">
        <v>0</v>
      </c>
      <c r="D119" s="240"/>
      <c r="E119" s="229"/>
      <c r="F119" s="230" t="s">
        <v>31</v>
      </c>
    </row>
    <row r="120" spans="2:6" ht="30.75" customHeight="1" thickBot="1">
      <c r="B120" s="215" t="s">
        <v>357</v>
      </c>
      <c r="C120" s="314">
        <f>SUM(C114:C119)</f>
        <v>112810.57999999997</v>
      </c>
      <c r="D120" s="240"/>
      <c r="E120" s="315">
        <f>C120+F120</f>
        <v>336810.57999999996</v>
      </c>
      <c r="F120" s="314">
        <v>224000</v>
      </c>
    </row>
    <row r="122" spans="2:6">
      <c r="B122" s="231" t="s">
        <v>354</v>
      </c>
      <c r="C122" s="226">
        <v>-65000</v>
      </c>
      <c r="D122" s="240"/>
      <c r="E122" s="240"/>
      <c r="F122" s="240"/>
    </row>
    <row r="123" spans="2:6">
      <c r="B123" s="231" t="s">
        <v>312</v>
      </c>
      <c r="C123" s="311"/>
      <c r="D123" s="240"/>
      <c r="E123" s="240"/>
      <c r="F123" s="240"/>
    </row>
    <row r="124" spans="2:6">
      <c r="B124" s="231" t="s">
        <v>313</v>
      </c>
      <c r="C124" s="225">
        <v>102937.97</v>
      </c>
      <c r="D124" s="240"/>
      <c r="E124" s="240"/>
      <c r="F124" s="240"/>
    </row>
    <row r="125" spans="2:6" ht="15" thickBot="1">
      <c r="B125" s="231"/>
      <c r="C125" s="225">
        <v>0</v>
      </c>
      <c r="D125" s="240"/>
      <c r="E125" s="229"/>
      <c r="F125" s="230" t="s">
        <v>31</v>
      </c>
    </row>
    <row r="126" spans="2:6" ht="30" customHeight="1" thickBot="1">
      <c r="B126" s="215" t="s">
        <v>356</v>
      </c>
      <c r="C126" s="318">
        <f>SUM(C120:C125)</f>
        <v>150748.54999999999</v>
      </c>
      <c r="D126" s="240"/>
      <c r="E126" s="319">
        <f>C126+F126</f>
        <v>374748.55</v>
      </c>
      <c r="F126" s="318">
        <v>224000</v>
      </c>
    </row>
    <row r="128" spans="2:6">
      <c r="B128" s="231" t="s">
        <v>353</v>
      </c>
      <c r="C128" s="311">
        <f>'2022 Recommended budget'!H45*-1</f>
        <v>-60000</v>
      </c>
      <c r="D128" s="240"/>
      <c r="E128" s="240"/>
      <c r="F128" s="240"/>
    </row>
    <row r="129" spans="2:6">
      <c r="B129" s="231" t="s">
        <v>348</v>
      </c>
      <c r="C129" s="226">
        <f>'2022 Recommended budget'!E45*-1</f>
        <v>-12500</v>
      </c>
      <c r="D129" s="240"/>
      <c r="E129" s="240"/>
      <c r="F129" s="240"/>
    </row>
    <row r="130" spans="2:6" s="240" customFormat="1">
      <c r="B130" s="339" t="s">
        <v>365</v>
      </c>
      <c r="C130" s="226">
        <f>42900-1000</f>
        <v>41900</v>
      </c>
    </row>
    <row r="131" spans="2:6">
      <c r="B131" s="231" t="s">
        <v>349</v>
      </c>
      <c r="C131" s="225">
        <v>0</v>
      </c>
      <c r="D131" s="240"/>
      <c r="E131" s="240"/>
      <c r="F131" s="240"/>
    </row>
    <row r="132" spans="2:6" ht="15" thickBot="1">
      <c r="B132" s="231"/>
      <c r="C132" s="225">
        <v>0</v>
      </c>
      <c r="D132" s="240"/>
      <c r="E132" s="229"/>
      <c r="F132" s="230" t="s">
        <v>31</v>
      </c>
    </row>
    <row r="133" spans="2:6" ht="30" customHeight="1" thickBot="1">
      <c r="B133" s="215" t="s">
        <v>364</v>
      </c>
      <c r="C133" s="316">
        <f>SUM(C126:C132)</f>
        <v>120148.54999999999</v>
      </c>
      <c r="D133" s="240"/>
      <c r="E133" s="317">
        <f>C133+F133</f>
        <v>344148.55</v>
      </c>
      <c r="F133" s="316">
        <v>224000</v>
      </c>
    </row>
    <row r="135" spans="2:6">
      <c r="B135" s="231"/>
      <c r="C135" s="311"/>
      <c r="D135" s="240"/>
      <c r="E135" s="240"/>
      <c r="F135" s="240"/>
    </row>
    <row r="136" spans="2:6">
      <c r="B136" s="231"/>
      <c r="C136" s="226"/>
      <c r="D136" s="240"/>
      <c r="E136" s="240"/>
      <c r="F136" s="240"/>
    </row>
    <row r="137" spans="2:6">
      <c r="B137" s="231"/>
      <c r="C137" s="225"/>
      <c r="D137" s="240"/>
      <c r="E137" s="240"/>
      <c r="F137" s="240"/>
    </row>
    <row r="138" spans="2:6">
      <c r="B138" s="231"/>
      <c r="C138" s="225"/>
      <c r="D138" s="240"/>
      <c r="E138" s="229"/>
      <c r="F138" s="230"/>
    </row>
    <row r="139" spans="2:6" ht="15">
      <c r="B139" s="215"/>
      <c r="C139" s="320"/>
      <c r="D139" s="321"/>
      <c r="E139" s="320"/>
      <c r="F139" s="320"/>
    </row>
    <row r="140" spans="2:6">
      <c r="C140" s="321"/>
      <c r="D140" s="321"/>
      <c r="E140" s="321"/>
      <c r="F140" s="321"/>
    </row>
  </sheetData>
  <phoneticPr fontId="0" type="noConversion"/>
  <printOptions horizontalCentered="1"/>
  <pageMargins left="0.36" right="0.35" top="0.98" bottom="0.6" header="0.47" footer="0.46"/>
  <pageSetup scale="91" orientation="portrait" horizontalDpi="4294967292" verticalDpi="4294967292" r:id="rId1"/>
  <headerFooter>
    <oddHeader>&amp;C2022 Recommended MORE Budget</oddHeader>
    <oddFooter>&amp;A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  <pageSetUpPr fitToPage="1"/>
  </sheetPr>
  <dimension ref="A1:L97"/>
  <sheetViews>
    <sheetView showRuler="0" zoomScaleNormal="100" workbookViewId="0"/>
  </sheetViews>
  <sheetFormatPr defaultColWidth="8.75" defaultRowHeight="14.25"/>
  <cols>
    <col min="1" max="1" width="3.25" customWidth="1"/>
    <col min="2" max="2" width="1.375" customWidth="1"/>
    <col min="3" max="3" width="28.75" bestFit="1" customWidth="1"/>
    <col min="4" max="4" width="12.625" customWidth="1"/>
    <col min="5" max="5" width="18.375" bestFit="1" customWidth="1"/>
    <col min="6" max="6" width="10.375" customWidth="1"/>
    <col min="7" max="7" width="10.375" style="240" customWidth="1"/>
    <col min="8" max="8" width="10.875" customWidth="1"/>
    <col min="9" max="9" width="10.875" hidden="1" customWidth="1"/>
    <col min="10" max="11" width="10.625" customWidth="1"/>
  </cols>
  <sheetData>
    <row r="1" spans="1:12" ht="15">
      <c r="A1" s="1" t="s">
        <v>328</v>
      </c>
    </row>
    <row r="2" spans="1:12">
      <c r="A2" s="62" t="s">
        <v>392</v>
      </c>
    </row>
    <row r="3" spans="1:12" ht="15" thickBot="1">
      <c r="A3" s="358">
        <v>44358</v>
      </c>
      <c r="B3" s="358"/>
      <c r="C3" s="358"/>
    </row>
    <row r="4" spans="1:12" ht="15.75" thickBot="1">
      <c r="C4" s="64" t="s">
        <v>329</v>
      </c>
      <c r="D4" s="77">
        <f>'2022 Recommended budget'!H47</f>
        <v>903399</v>
      </c>
      <c r="E4" s="79"/>
      <c r="F4" s="80"/>
      <c r="G4" s="80"/>
    </row>
    <row r="5" spans="1:12" ht="15.75" thickBot="1">
      <c r="C5" s="64" t="s">
        <v>330</v>
      </c>
      <c r="D5" s="77">
        <f>'MORE Formula w 3-yr Avg ''18-''20'!F5</f>
        <v>25216</v>
      </c>
      <c r="E5" s="79"/>
      <c r="F5" s="80"/>
      <c r="G5" s="80"/>
    </row>
    <row r="6" spans="1:12" ht="15.75" thickBot="1">
      <c r="C6" s="64" t="s">
        <v>331</v>
      </c>
      <c r="D6" s="77">
        <f>D4-D5</f>
        <v>878183</v>
      </c>
      <c r="E6" s="79"/>
      <c r="F6" s="80"/>
      <c r="G6" s="80"/>
      <c r="J6" s="357"/>
      <c r="K6" s="357"/>
    </row>
    <row r="7" spans="1:12" ht="15">
      <c r="B7" s="119" t="s">
        <v>366</v>
      </c>
      <c r="C7" s="119"/>
      <c r="D7" s="66"/>
      <c r="E7" s="257">
        <f>'MORE Formula w 3-yr Avg ''18-''20'!M2</f>
        <v>1500</v>
      </c>
      <c r="F7" s="257"/>
      <c r="H7" s="67"/>
      <c r="J7" s="357" t="s">
        <v>100</v>
      </c>
      <c r="K7" s="357"/>
    </row>
    <row r="8" spans="1:12" s="240" customFormat="1" ht="15" thickBot="1">
      <c r="B8" s="119" t="s">
        <v>335</v>
      </c>
      <c r="C8" s="119"/>
      <c r="D8" s="66"/>
      <c r="E8" s="257">
        <f>'MORE Formula w 3-yr Avg ''18-''20'!M3</f>
        <v>20000</v>
      </c>
      <c r="H8" s="67"/>
      <c r="J8" s="161" t="s">
        <v>101</v>
      </c>
      <c r="K8" s="161" t="s">
        <v>102</v>
      </c>
    </row>
    <row r="9" spans="1:12" ht="26.25" customHeight="1" thickBot="1">
      <c r="A9" s="119" t="s">
        <v>103</v>
      </c>
      <c r="C9" s="65"/>
      <c r="D9" s="66"/>
      <c r="E9" s="67"/>
      <c r="F9" s="67"/>
      <c r="G9" s="67"/>
      <c r="J9" s="160">
        <f>'MORE Formula w 3-yr Avg ''18-''20'!H5</f>
        <v>203545</v>
      </c>
      <c r="K9" s="160">
        <f>D6-J9</f>
        <v>674638</v>
      </c>
    </row>
    <row r="10" spans="1:12" ht="63" customHeight="1" thickBot="1">
      <c r="A10" s="63" t="s">
        <v>104</v>
      </c>
      <c r="B10" s="76"/>
      <c r="C10" s="181" t="s">
        <v>105</v>
      </c>
      <c r="D10" s="171" t="s">
        <v>278</v>
      </c>
      <c r="E10" s="182" t="s">
        <v>279</v>
      </c>
      <c r="F10" s="183" t="s">
        <v>287</v>
      </c>
      <c r="G10" s="305" t="s">
        <v>326</v>
      </c>
      <c r="H10" s="166" t="s">
        <v>332</v>
      </c>
      <c r="I10" s="182" t="s">
        <v>106</v>
      </c>
      <c r="J10" s="171" t="s">
        <v>333</v>
      </c>
      <c r="K10" s="172" t="s">
        <v>334</v>
      </c>
    </row>
    <row r="11" spans="1:12" ht="16.350000000000001" customHeight="1">
      <c r="A11" s="141">
        <v>1</v>
      </c>
      <c r="B11" s="57"/>
      <c r="C11" s="184" t="s">
        <v>107</v>
      </c>
      <c r="D11" s="185">
        <f>'MORE Formula w 3-yr Avg ''18-''20'!K9</f>
        <v>3.6190206987897405E-2</v>
      </c>
      <c r="E11" s="186">
        <f>($D$6*D11)</f>
        <v>31781.624543252707</v>
      </c>
      <c r="F11" s="187">
        <f>IF(E11&lt;($E$7*2),E11/2,$E$7)</f>
        <v>1500</v>
      </c>
      <c r="G11" s="189"/>
      <c r="H11" s="188">
        <f>E11-F11-G11</f>
        <v>30281.624543252707</v>
      </c>
      <c r="I11" s="189">
        <f>ROUND(D11*1000,0)</f>
        <v>36</v>
      </c>
      <c r="J11" s="190">
        <f>ROUND($J$9*D11,0)</f>
        <v>7366</v>
      </c>
      <c r="K11" s="190">
        <f>H11-J11</f>
        <v>22915.624543252707</v>
      </c>
      <c r="L11" t="s">
        <v>256</v>
      </c>
    </row>
    <row r="12" spans="1:12" ht="16.350000000000001" customHeight="1">
      <c r="A12" s="142">
        <v>2</v>
      </c>
      <c r="B12" s="56"/>
      <c r="C12" s="191" t="s">
        <v>108</v>
      </c>
      <c r="D12" s="185">
        <f>'MORE Formula w 3-yr Avg ''18-''20'!K12</f>
        <v>1.7086918991077574E-2</v>
      </c>
      <c r="E12" s="71">
        <f t="shared" ref="E12:E62" si="0">($D$6*D12)</f>
        <v>15005.441780341476</v>
      </c>
      <c r="F12" s="340">
        <f>IF(E12&lt;($E$7*2),E12/2,$E$7)</f>
        <v>1500</v>
      </c>
      <c r="G12" s="306"/>
      <c r="H12" s="192">
        <f>E12-F12-G12</f>
        <v>13505.441780341476</v>
      </c>
      <c r="I12" s="162">
        <f t="shared" ref="I12:I57" si="1">ROUND(D12*1000,0)</f>
        <v>17</v>
      </c>
      <c r="J12" s="71">
        <f>ROUND($J$9*D12,0)</f>
        <v>3478</v>
      </c>
      <c r="K12" s="71">
        <f>H12-J12</f>
        <v>10027.441780341476</v>
      </c>
      <c r="L12" t="s">
        <v>256</v>
      </c>
    </row>
    <row r="13" spans="1:12" ht="16.350000000000001" customHeight="1">
      <c r="A13" s="142">
        <v>3</v>
      </c>
      <c r="B13" s="56"/>
      <c r="C13" s="191" t="s">
        <v>109</v>
      </c>
      <c r="D13" s="185">
        <f>'MORE Formula w 3-yr Avg ''18-''20'!K13</f>
        <v>7.0109106554460407E-3</v>
      </c>
      <c r="E13" s="71">
        <f t="shared" si="0"/>
        <v>6156.8625521315707</v>
      </c>
      <c r="F13" s="340">
        <f>IF(E13&lt;($E$7*2),E13/2,$E$7)</f>
        <v>1500</v>
      </c>
      <c r="G13" s="306"/>
      <c r="H13" s="192">
        <f t="shared" ref="H13:H62" si="2">E13-F13-G13</f>
        <v>4656.8625521315707</v>
      </c>
      <c r="I13" s="162">
        <f t="shared" si="1"/>
        <v>7</v>
      </c>
      <c r="J13" s="71">
        <f t="shared" ref="J13:J62" si="3">ROUND($J$9*D13,0)</f>
        <v>1427</v>
      </c>
      <c r="K13" s="71">
        <f t="shared" ref="K13:K62" si="4">H13-J13</f>
        <v>3229.8625521315707</v>
      </c>
      <c r="L13" t="s">
        <v>256</v>
      </c>
    </row>
    <row r="14" spans="1:12" ht="16.350000000000001" customHeight="1">
      <c r="A14" s="142">
        <v>4</v>
      </c>
      <c r="B14" s="56"/>
      <c r="C14" s="191" t="s">
        <v>110</v>
      </c>
      <c r="D14" s="185"/>
      <c r="E14" s="71">
        <f t="shared" si="0"/>
        <v>0</v>
      </c>
      <c r="F14" s="68">
        <v>0</v>
      </c>
      <c r="G14" s="306"/>
      <c r="H14" s="192">
        <f t="shared" si="2"/>
        <v>0</v>
      </c>
      <c r="I14" s="162">
        <f t="shared" si="1"/>
        <v>0</v>
      </c>
      <c r="J14" s="71">
        <f t="shared" si="3"/>
        <v>0</v>
      </c>
      <c r="K14" s="71">
        <f t="shared" si="4"/>
        <v>0</v>
      </c>
    </row>
    <row r="15" spans="1:12" ht="16.350000000000001" customHeight="1">
      <c r="A15" s="142">
        <v>5</v>
      </c>
      <c r="B15" s="56"/>
      <c r="C15" s="191" t="s">
        <v>111</v>
      </c>
      <c r="D15" s="185">
        <f>'MORE Formula w 3-yr Avg ''18-''20'!K26</f>
        <v>4.0275266783775746E-3</v>
      </c>
      <c r="E15" s="71">
        <f t="shared" si="0"/>
        <v>3536.9054609976538</v>
      </c>
      <c r="F15" s="340">
        <f>IF(E15&lt;($E$7*2),E15/2,$E$7)</f>
        <v>1500</v>
      </c>
      <c r="G15" s="306"/>
      <c r="H15" s="192">
        <f t="shared" si="2"/>
        <v>2036.9054609976538</v>
      </c>
      <c r="I15" s="162">
        <f t="shared" si="1"/>
        <v>4</v>
      </c>
      <c r="J15" s="71">
        <f t="shared" si="3"/>
        <v>820</v>
      </c>
      <c r="K15" s="71">
        <f t="shared" si="4"/>
        <v>1216.9054609976538</v>
      </c>
    </row>
    <row r="16" spans="1:12" ht="16.350000000000001" customHeight="1">
      <c r="A16" s="142">
        <v>6</v>
      </c>
      <c r="B16" s="56"/>
      <c r="C16" s="191" t="s">
        <v>112</v>
      </c>
      <c r="D16" s="185">
        <f>'MORE Formula w 3-yr Avg ''18-''20'!K27</f>
        <v>5.1731861486101274E-3</v>
      </c>
      <c r="E16" s="71">
        <f t="shared" si="0"/>
        <v>4543.004131544888</v>
      </c>
      <c r="F16" s="340">
        <f>IF(E16&lt;($E$7*2),E16/2,$E$7)</f>
        <v>1500</v>
      </c>
      <c r="G16" s="306"/>
      <c r="H16" s="192">
        <f t="shared" si="2"/>
        <v>3043.004131544888</v>
      </c>
      <c r="I16" s="162">
        <f t="shared" si="1"/>
        <v>5</v>
      </c>
      <c r="J16" s="71">
        <f t="shared" si="3"/>
        <v>1053</v>
      </c>
      <c r="K16" s="71">
        <f t="shared" si="4"/>
        <v>1990.004131544888</v>
      </c>
    </row>
    <row r="17" spans="1:12" ht="16.350000000000001" customHeight="1">
      <c r="A17" s="142">
        <v>7</v>
      </c>
      <c r="B17" s="56"/>
      <c r="C17" s="191" t="s">
        <v>113</v>
      </c>
      <c r="D17" s="185">
        <f>'MORE Formula w 3-yr Avg ''18-''20'!K29</f>
        <v>1.7070868085108156E-2</v>
      </c>
      <c r="E17" s="71">
        <f t="shared" si="0"/>
        <v>14991.346147584536</v>
      </c>
      <c r="F17" s="340">
        <f t="shared" ref="F17:F62" si="5">IF(E17&lt;($E$7*2),E17/2,$E$7)</f>
        <v>1500</v>
      </c>
      <c r="G17" s="306"/>
      <c r="H17" s="192">
        <f t="shared" si="2"/>
        <v>13491.346147584536</v>
      </c>
      <c r="I17" s="162">
        <f t="shared" si="1"/>
        <v>17</v>
      </c>
      <c r="J17" s="71">
        <f t="shared" si="3"/>
        <v>3475</v>
      </c>
      <c r="K17" s="71">
        <f t="shared" si="4"/>
        <v>10016.346147584536</v>
      </c>
      <c r="L17" t="s">
        <v>256</v>
      </c>
    </row>
    <row r="18" spans="1:12" ht="16.350000000000001" customHeight="1">
      <c r="A18" s="142">
        <v>8</v>
      </c>
      <c r="B18" s="56"/>
      <c r="C18" s="191" t="s">
        <v>114</v>
      </c>
      <c r="D18" s="185">
        <f>'MORE Formula w 3-yr Avg ''18-''20'!K34</f>
        <v>5.5085875473736235E-3</v>
      </c>
      <c r="E18" s="71">
        <f t="shared" si="0"/>
        <v>4837.5479381152109</v>
      </c>
      <c r="F18" s="340">
        <f t="shared" si="5"/>
        <v>1500</v>
      </c>
      <c r="G18" s="306"/>
      <c r="H18" s="192">
        <f t="shared" si="2"/>
        <v>3337.5479381152109</v>
      </c>
      <c r="I18" s="162">
        <f t="shared" si="1"/>
        <v>6</v>
      </c>
      <c r="J18" s="71">
        <f t="shared" si="3"/>
        <v>1121</v>
      </c>
      <c r="K18" s="71">
        <f t="shared" si="4"/>
        <v>2216.5479381152109</v>
      </c>
      <c r="L18" t="s">
        <v>256</v>
      </c>
    </row>
    <row r="19" spans="1:12" ht="16.350000000000001" customHeight="1">
      <c r="A19" s="142">
        <v>9</v>
      </c>
      <c r="B19" s="56"/>
      <c r="C19" s="191" t="s">
        <v>115</v>
      </c>
      <c r="D19" s="185">
        <f>'MORE Formula w 3-yr Avg ''18-''20'!K36</f>
        <v>5.47194145296553E-2</v>
      </c>
      <c r="E19" s="71">
        <f t="shared" si="0"/>
        <v>48053.659609896284</v>
      </c>
      <c r="F19" s="340">
        <f t="shared" si="5"/>
        <v>1500</v>
      </c>
      <c r="G19" s="306"/>
      <c r="H19" s="192">
        <f t="shared" si="2"/>
        <v>46553.659609896284</v>
      </c>
      <c r="I19" s="162">
        <f t="shared" si="1"/>
        <v>55</v>
      </c>
      <c r="J19" s="71">
        <f t="shared" si="3"/>
        <v>11138</v>
      </c>
      <c r="K19" s="71">
        <f t="shared" si="4"/>
        <v>35415.659609896284</v>
      </c>
      <c r="L19" t="s">
        <v>256</v>
      </c>
    </row>
    <row r="20" spans="1:12" ht="16.350000000000001" customHeight="1">
      <c r="A20" s="142">
        <v>10</v>
      </c>
      <c r="B20" s="56"/>
      <c r="C20" s="191" t="s">
        <v>116</v>
      </c>
      <c r="D20" s="185">
        <f>'MORE Formula w 3-yr Avg ''18-''20'!K28</f>
        <v>0.17787134552660208</v>
      </c>
      <c r="E20" s="71">
        <f t="shared" si="0"/>
        <v>156203.59182858799</v>
      </c>
      <c r="F20" s="340">
        <f t="shared" si="5"/>
        <v>1500</v>
      </c>
      <c r="G20" s="306">
        <f>'MORE Formula w 3-yr Avg ''18-''20'!N28</f>
        <v>11505.375546672905</v>
      </c>
      <c r="H20" s="192">
        <f t="shared" si="2"/>
        <v>143198.21628191508</v>
      </c>
      <c r="I20" s="162">
        <f t="shared" si="1"/>
        <v>178</v>
      </c>
      <c r="J20" s="71">
        <f t="shared" si="3"/>
        <v>36205</v>
      </c>
      <c r="K20" s="71">
        <f t="shared" si="4"/>
        <v>106993.21628191508</v>
      </c>
      <c r="L20" t="s">
        <v>256</v>
      </c>
    </row>
    <row r="21" spans="1:12" ht="16.350000000000001" customHeight="1">
      <c r="A21" s="142">
        <v>11</v>
      </c>
      <c r="B21" s="56"/>
      <c r="C21" s="191" t="s">
        <v>117</v>
      </c>
      <c r="D21" s="185">
        <f>'MORE Formula w 3-yr Avg ''18-''20'!K38</f>
        <v>8.4961405909276533E-3</v>
      </c>
      <c r="E21" s="71">
        <f t="shared" si="0"/>
        <v>7461.1662325626194</v>
      </c>
      <c r="F21" s="340">
        <f t="shared" si="5"/>
        <v>1500</v>
      </c>
      <c r="G21" s="306"/>
      <c r="H21" s="192">
        <f t="shared" si="2"/>
        <v>5961.1662325626194</v>
      </c>
      <c r="I21" s="162">
        <f t="shared" si="1"/>
        <v>8</v>
      </c>
      <c r="J21" s="71">
        <f t="shared" si="3"/>
        <v>1729</v>
      </c>
      <c r="K21" s="71">
        <f t="shared" si="4"/>
        <v>4232.1662325626194</v>
      </c>
    </row>
    <row r="22" spans="1:12" ht="16.350000000000001" customHeight="1">
      <c r="A22" s="142">
        <v>12</v>
      </c>
      <c r="B22" s="56"/>
      <c r="C22" s="191" t="s">
        <v>118</v>
      </c>
      <c r="D22" s="185">
        <f>'MORE Formula w 3-yr Avg ''18-''20'!K40</f>
        <v>8.2389091887684514E-3</v>
      </c>
      <c r="E22" s="71">
        <f t="shared" si="0"/>
        <v>7235.2699881202452</v>
      </c>
      <c r="F22" s="340">
        <f t="shared" si="5"/>
        <v>1500</v>
      </c>
      <c r="G22" s="306"/>
      <c r="H22" s="192">
        <f t="shared" si="2"/>
        <v>5735.2699881202452</v>
      </c>
      <c r="I22" s="162">
        <f t="shared" si="1"/>
        <v>8</v>
      </c>
      <c r="J22" s="71">
        <f t="shared" si="3"/>
        <v>1677</v>
      </c>
      <c r="K22" s="71">
        <f t="shared" si="4"/>
        <v>4058.2699881202452</v>
      </c>
    </row>
    <row r="23" spans="1:12" ht="16.350000000000001" customHeight="1">
      <c r="A23" s="142">
        <v>13</v>
      </c>
      <c r="B23" s="56"/>
      <c r="C23" s="191" t="s">
        <v>119</v>
      </c>
      <c r="D23" s="185">
        <f>'MORE Formula w 3-yr Avg ''18-''20'!K41</f>
        <v>4.7784380884246497E-2</v>
      </c>
      <c r="E23" s="71">
        <f t="shared" si="0"/>
        <v>41963.430958070239</v>
      </c>
      <c r="F23" s="340">
        <f t="shared" si="5"/>
        <v>1500</v>
      </c>
      <c r="G23" s="306"/>
      <c r="H23" s="192">
        <f t="shared" si="2"/>
        <v>40463.430958070239</v>
      </c>
      <c r="I23" s="162">
        <f t="shared" si="1"/>
        <v>48</v>
      </c>
      <c r="J23" s="71">
        <f t="shared" si="3"/>
        <v>9726</v>
      </c>
      <c r="K23" s="71">
        <f t="shared" si="4"/>
        <v>30737.430958070239</v>
      </c>
      <c r="L23" t="s">
        <v>256</v>
      </c>
    </row>
    <row r="24" spans="1:12" ht="16.350000000000001" customHeight="1">
      <c r="A24" s="142">
        <v>14</v>
      </c>
      <c r="B24" s="56"/>
      <c r="C24" s="191" t="s">
        <v>120</v>
      </c>
      <c r="D24" s="185">
        <f>'MORE Formula w 3-yr Avg ''18-''20'!K43</f>
        <v>1.7560108037188906E-2</v>
      </c>
      <c r="E24" s="71">
        <f t="shared" si="0"/>
        <v>15420.988356422666</v>
      </c>
      <c r="F24" s="340">
        <f t="shared" si="5"/>
        <v>1500</v>
      </c>
      <c r="G24" s="306"/>
      <c r="H24" s="192">
        <f t="shared" si="2"/>
        <v>13920.988356422666</v>
      </c>
      <c r="I24" s="162">
        <f t="shared" si="1"/>
        <v>18</v>
      </c>
      <c r="J24" s="71">
        <f t="shared" si="3"/>
        <v>3574</v>
      </c>
      <c r="K24" s="71">
        <f t="shared" si="4"/>
        <v>10346.988356422666</v>
      </c>
    </row>
    <row r="25" spans="1:12" ht="16.350000000000001" customHeight="1">
      <c r="A25" s="142">
        <v>15</v>
      </c>
      <c r="B25" s="56"/>
      <c r="C25" s="191" t="s">
        <v>121</v>
      </c>
      <c r="D25" s="185">
        <f>'MORE Formula w 3-yr Avg ''18-''20'!K44</f>
        <v>1.8634476470518344E-2</v>
      </c>
      <c r="E25" s="71">
        <f t="shared" si="0"/>
        <v>16364.480450309211</v>
      </c>
      <c r="F25" s="340">
        <f t="shared" si="5"/>
        <v>1500</v>
      </c>
      <c r="G25" s="306"/>
      <c r="H25" s="192">
        <f t="shared" si="2"/>
        <v>14864.480450309211</v>
      </c>
      <c r="I25" s="162">
        <f t="shared" si="1"/>
        <v>19</v>
      </c>
      <c r="J25" s="71">
        <f t="shared" si="3"/>
        <v>3793</v>
      </c>
      <c r="K25" s="71">
        <f t="shared" si="4"/>
        <v>11071.480450309211</v>
      </c>
    </row>
    <row r="26" spans="1:12" ht="16.350000000000001" customHeight="1">
      <c r="A26" s="142">
        <v>16</v>
      </c>
      <c r="B26" s="56"/>
      <c r="C26" s="191" t="s">
        <v>122</v>
      </c>
      <c r="D26" s="185"/>
      <c r="E26" s="71">
        <f t="shared" si="0"/>
        <v>0</v>
      </c>
      <c r="F26" s="340">
        <f t="shared" si="5"/>
        <v>0</v>
      </c>
      <c r="G26" s="306"/>
      <c r="H26" s="192">
        <f t="shared" si="2"/>
        <v>0</v>
      </c>
      <c r="I26" s="162">
        <f t="shared" si="1"/>
        <v>0</v>
      </c>
      <c r="J26" s="71">
        <f t="shared" si="3"/>
        <v>0</v>
      </c>
      <c r="K26" s="71">
        <f t="shared" si="4"/>
        <v>0</v>
      </c>
    </row>
    <row r="27" spans="1:12" ht="16.350000000000001" customHeight="1">
      <c r="A27" s="142">
        <v>17</v>
      </c>
      <c r="B27" s="56"/>
      <c r="C27" s="191" t="s">
        <v>123</v>
      </c>
      <c r="D27" s="185">
        <f>'MORE Formula w 3-yr Avg ''18-''20'!K48</f>
        <v>1.5584178976356599E-2</v>
      </c>
      <c r="E27" s="71">
        <f t="shared" si="0"/>
        <v>13685.761045993766</v>
      </c>
      <c r="F27" s="340">
        <f t="shared" si="5"/>
        <v>1500</v>
      </c>
      <c r="G27" s="306"/>
      <c r="H27" s="192">
        <f t="shared" si="2"/>
        <v>12185.761045993766</v>
      </c>
      <c r="I27" s="162">
        <f t="shared" si="1"/>
        <v>16</v>
      </c>
      <c r="J27" s="71">
        <f t="shared" si="3"/>
        <v>3172</v>
      </c>
      <c r="K27" s="71">
        <f t="shared" si="4"/>
        <v>9013.7610459937659</v>
      </c>
      <c r="L27" t="s">
        <v>256</v>
      </c>
    </row>
    <row r="28" spans="1:12" ht="16.350000000000001" customHeight="1">
      <c r="A28" s="142">
        <v>18</v>
      </c>
      <c r="B28" s="56"/>
      <c r="C28" s="191" t="s">
        <v>124</v>
      </c>
      <c r="D28" s="185">
        <f>'MORE Formula w 3-yr Avg ''18-''20'!K50</f>
        <v>6.6459505752999068E-2</v>
      </c>
      <c r="E28" s="71">
        <f t="shared" si="0"/>
        <v>58363.608140685981</v>
      </c>
      <c r="F28" s="340">
        <f t="shared" si="5"/>
        <v>1500</v>
      </c>
      <c r="G28" s="306">
        <f>'MORE Formula w 3-yr Avg ''18-''20'!N50</f>
        <v>4298.8462816803985</v>
      </c>
      <c r="H28" s="192">
        <f t="shared" si="2"/>
        <v>52564.761859005579</v>
      </c>
      <c r="I28" s="162">
        <f t="shared" si="1"/>
        <v>66</v>
      </c>
      <c r="J28" s="71">
        <f t="shared" si="3"/>
        <v>13528</v>
      </c>
      <c r="K28" s="71">
        <f t="shared" si="4"/>
        <v>39036.761859005579</v>
      </c>
      <c r="L28" t="s">
        <v>256</v>
      </c>
    </row>
    <row r="29" spans="1:12" ht="16.350000000000001" customHeight="1">
      <c r="A29" s="142">
        <v>19</v>
      </c>
      <c r="B29" s="56"/>
      <c r="C29" s="191" t="s">
        <v>125</v>
      </c>
      <c r="D29" s="185">
        <f>'MORE Formula w 3-yr Avg ''18-''20'!K53</f>
        <v>1.3104001324095517E-2</v>
      </c>
      <c r="E29" s="71">
        <f t="shared" si="0"/>
        <v>11507.711194798174</v>
      </c>
      <c r="F29" s="340">
        <f t="shared" si="5"/>
        <v>1500</v>
      </c>
      <c r="G29" s="306"/>
      <c r="H29" s="192">
        <f t="shared" si="2"/>
        <v>10007.711194798174</v>
      </c>
      <c r="I29" s="162">
        <f t="shared" si="1"/>
        <v>13</v>
      </c>
      <c r="J29" s="71">
        <f t="shared" si="3"/>
        <v>2667</v>
      </c>
      <c r="K29" s="71">
        <f t="shared" si="4"/>
        <v>7340.7111947981739</v>
      </c>
      <c r="L29" s="231" t="s">
        <v>256</v>
      </c>
    </row>
    <row r="30" spans="1:12" ht="16.350000000000001" customHeight="1">
      <c r="A30" s="142">
        <v>20</v>
      </c>
      <c r="B30" s="56"/>
      <c r="C30" s="191" t="s">
        <v>126</v>
      </c>
      <c r="D30" s="185">
        <f>'MORE Formula w 3-yr Avg ''18-''20'!K58</f>
        <v>8.095910208313661E-3</v>
      </c>
      <c r="E30" s="71">
        <f t="shared" si="0"/>
        <v>7109.690714467516</v>
      </c>
      <c r="F30" s="340">
        <f t="shared" si="5"/>
        <v>1500</v>
      </c>
      <c r="G30" s="306"/>
      <c r="H30" s="192">
        <f t="shared" si="2"/>
        <v>5609.690714467516</v>
      </c>
      <c r="I30" s="162">
        <f t="shared" si="1"/>
        <v>8</v>
      </c>
      <c r="J30" s="71">
        <f t="shared" si="3"/>
        <v>1648</v>
      </c>
      <c r="K30" s="71">
        <f t="shared" si="4"/>
        <v>3961.690714467516</v>
      </c>
    </row>
    <row r="31" spans="1:12" ht="16.350000000000001" customHeight="1">
      <c r="A31" s="142">
        <v>21</v>
      </c>
      <c r="B31" s="56"/>
      <c r="C31" s="191" t="s">
        <v>127</v>
      </c>
      <c r="D31" s="185">
        <f>'MORE Formula w 3-yr Avg ''18-''20'!K16</f>
        <v>7.4888941280157727E-3</v>
      </c>
      <c r="E31" s="71">
        <f t="shared" si="0"/>
        <v>6576.6195120232751</v>
      </c>
      <c r="F31" s="340">
        <f t="shared" si="5"/>
        <v>1500</v>
      </c>
      <c r="G31" s="306"/>
      <c r="H31" s="192">
        <f t="shared" si="2"/>
        <v>5076.6195120232751</v>
      </c>
      <c r="I31" s="162">
        <f t="shared" si="1"/>
        <v>7</v>
      </c>
      <c r="J31" s="71">
        <f t="shared" si="3"/>
        <v>1524</v>
      </c>
      <c r="K31" s="71">
        <f t="shared" si="4"/>
        <v>3552.6195120232751</v>
      </c>
    </row>
    <row r="32" spans="1:12" ht="16.350000000000001" customHeight="1">
      <c r="A32" s="142">
        <v>22</v>
      </c>
      <c r="B32" s="56"/>
      <c r="C32" s="191" t="s">
        <v>128</v>
      </c>
      <c r="D32" s="185">
        <f>'MORE Formula w 3-yr Avg ''18-''20'!K24</f>
        <v>8.550755361888521E-3</v>
      </c>
      <c r="E32" s="71">
        <f t="shared" si="0"/>
        <v>7509.1279959693475</v>
      </c>
      <c r="F32" s="340">
        <f t="shared" si="5"/>
        <v>1500</v>
      </c>
      <c r="G32" s="306"/>
      <c r="H32" s="192">
        <f t="shared" si="2"/>
        <v>6009.1279959693475</v>
      </c>
      <c r="I32" s="162">
        <f t="shared" si="1"/>
        <v>9</v>
      </c>
      <c r="J32" s="71">
        <f t="shared" si="3"/>
        <v>1740</v>
      </c>
      <c r="K32" s="71">
        <f t="shared" si="4"/>
        <v>4269.1279959693475</v>
      </c>
    </row>
    <row r="33" spans="1:12" ht="16.350000000000001" customHeight="1">
      <c r="A33" s="142">
        <v>23</v>
      </c>
      <c r="B33" s="56"/>
      <c r="C33" s="191" t="s">
        <v>129</v>
      </c>
      <c r="D33" s="185">
        <f>'MORE Formula w 3-yr Avg ''18-''20'!K23</f>
        <v>9.2572036778670718E-3</v>
      </c>
      <c r="E33" s="71">
        <f t="shared" si="0"/>
        <v>8129.5188974403391</v>
      </c>
      <c r="F33" s="340">
        <f t="shared" si="5"/>
        <v>1500</v>
      </c>
      <c r="G33" s="306"/>
      <c r="H33" s="192">
        <f t="shared" si="2"/>
        <v>6629.5188974403391</v>
      </c>
      <c r="I33" s="162">
        <f t="shared" si="1"/>
        <v>9</v>
      </c>
      <c r="J33" s="71">
        <f t="shared" si="3"/>
        <v>1884</v>
      </c>
      <c r="K33" s="71">
        <f t="shared" si="4"/>
        <v>4745.5188974403391</v>
      </c>
    </row>
    <row r="34" spans="1:12" ht="16.350000000000001" customHeight="1">
      <c r="A34" s="142">
        <v>24</v>
      </c>
      <c r="B34" s="56"/>
      <c r="C34" s="191" t="s">
        <v>130</v>
      </c>
      <c r="D34" s="185">
        <f>'MORE Formula w 3-yr Avg ''18-''20'!K20</f>
        <v>4.0873527824453948E-3</v>
      </c>
      <c r="E34" s="71">
        <f t="shared" si="0"/>
        <v>3589.4437285462441</v>
      </c>
      <c r="F34" s="340">
        <f t="shared" si="5"/>
        <v>1500</v>
      </c>
      <c r="G34" s="306"/>
      <c r="H34" s="192">
        <f t="shared" si="2"/>
        <v>2089.4437285462441</v>
      </c>
      <c r="I34" s="162">
        <f t="shared" si="1"/>
        <v>4</v>
      </c>
      <c r="J34" s="71">
        <f t="shared" si="3"/>
        <v>832</v>
      </c>
      <c r="K34" s="71">
        <f t="shared" si="4"/>
        <v>1257.4437285462441</v>
      </c>
    </row>
    <row r="35" spans="1:12" ht="16.350000000000001" customHeight="1">
      <c r="A35" s="142">
        <v>25</v>
      </c>
      <c r="B35" s="56"/>
      <c r="C35" s="191" t="s">
        <v>131</v>
      </c>
      <c r="D35" s="185">
        <f>'MORE Formula w 3-yr Avg ''18-''20'!K33</f>
        <v>1.1075958932193677E-2</v>
      </c>
      <c r="E35" s="71">
        <f t="shared" si="0"/>
        <v>9726.7188429506405</v>
      </c>
      <c r="F35" s="340">
        <f t="shared" si="5"/>
        <v>1500</v>
      </c>
      <c r="G35" s="306"/>
      <c r="H35" s="192">
        <f t="shared" si="2"/>
        <v>8226.7188429506405</v>
      </c>
      <c r="I35" s="162">
        <f t="shared" si="1"/>
        <v>11</v>
      </c>
      <c r="J35" s="71">
        <f t="shared" si="3"/>
        <v>2254</v>
      </c>
      <c r="K35" s="71">
        <f t="shared" si="4"/>
        <v>5972.7188429506405</v>
      </c>
      <c r="L35" t="s">
        <v>256</v>
      </c>
    </row>
    <row r="36" spans="1:12" ht="16.350000000000001" customHeight="1">
      <c r="A36" s="142">
        <v>26</v>
      </c>
      <c r="B36" s="56"/>
      <c r="C36" s="191" t="s">
        <v>132</v>
      </c>
      <c r="D36" s="185">
        <f>'MORE Formula w 3-yr Avg ''18-''20'!K39</f>
        <v>6.1924812136652831E-2</v>
      </c>
      <c r="E36" s="71">
        <f t="shared" si="0"/>
        <v>54381.317296602196</v>
      </c>
      <c r="F36" s="340">
        <f t="shared" si="5"/>
        <v>1500</v>
      </c>
      <c r="G36" s="306"/>
      <c r="H36" s="192">
        <f t="shared" si="2"/>
        <v>52881.317296602196</v>
      </c>
      <c r="I36" s="162">
        <f t="shared" si="1"/>
        <v>62</v>
      </c>
      <c r="J36" s="71">
        <f t="shared" si="3"/>
        <v>12604</v>
      </c>
      <c r="K36" s="71">
        <f t="shared" si="4"/>
        <v>40277.317296602196</v>
      </c>
      <c r="L36" t="s">
        <v>256</v>
      </c>
    </row>
    <row r="37" spans="1:12" ht="16.350000000000001" customHeight="1">
      <c r="A37" s="142">
        <v>27</v>
      </c>
      <c r="B37" s="56"/>
      <c r="C37" s="191" t="s">
        <v>133</v>
      </c>
      <c r="D37" s="185">
        <f>'MORE Formula w 3-yr Avg ''18-''20'!K45</f>
        <v>5.7549793766703628E-3</v>
      </c>
      <c r="E37" s="71">
        <f t="shared" si="0"/>
        <v>5053.9250539425093</v>
      </c>
      <c r="F37" s="340">
        <f t="shared" si="5"/>
        <v>1500</v>
      </c>
      <c r="G37" s="306"/>
      <c r="H37" s="192">
        <f t="shared" si="2"/>
        <v>3553.9250539425093</v>
      </c>
      <c r="I37" s="162">
        <f t="shared" si="1"/>
        <v>6</v>
      </c>
      <c r="J37" s="71">
        <f t="shared" si="3"/>
        <v>1171</v>
      </c>
      <c r="K37" s="71">
        <f t="shared" si="4"/>
        <v>2382.9250539425093</v>
      </c>
      <c r="L37" t="s">
        <v>256</v>
      </c>
    </row>
    <row r="38" spans="1:12" ht="16.350000000000001" customHeight="1">
      <c r="A38" s="142">
        <v>28</v>
      </c>
      <c r="B38" s="56"/>
      <c r="C38" s="191" t="s">
        <v>134</v>
      </c>
      <c r="D38" s="185">
        <f>'MORE Formula w 3-yr Avg ''18-''20'!K55</f>
        <v>1.4000767525139991E-2</v>
      </c>
      <c r="E38" s="71">
        <f t="shared" si="0"/>
        <v>12295.236027530013</v>
      </c>
      <c r="F38" s="340">
        <f t="shared" si="5"/>
        <v>1500</v>
      </c>
      <c r="G38" s="306"/>
      <c r="H38" s="192">
        <f t="shared" si="2"/>
        <v>10795.236027530013</v>
      </c>
      <c r="I38" s="162">
        <f t="shared" si="1"/>
        <v>14</v>
      </c>
      <c r="J38" s="71">
        <f t="shared" si="3"/>
        <v>2850</v>
      </c>
      <c r="K38" s="71">
        <f t="shared" si="4"/>
        <v>7945.2360275300125</v>
      </c>
      <c r="L38" t="s">
        <v>256</v>
      </c>
    </row>
    <row r="39" spans="1:12" ht="16.350000000000001" customHeight="1">
      <c r="A39" s="142">
        <v>29</v>
      </c>
      <c r="B39" s="56"/>
      <c r="C39" s="191" t="s">
        <v>135</v>
      </c>
      <c r="D39" s="185">
        <f>'MORE Formula w 3-yr Avg ''18-''20'!K22</f>
        <v>6.4866088542217107E-2</v>
      </c>
      <c r="E39" s="71">
        <f t="shared" si="0"/>
        <v>56964.296234269845</v>
      </c>
      <c r="F39" s="340">
        <f t="shared" si="5"/>
        <v>1500</v>
      </c>
      <c r="G39" s="306">
        <f>'MORE Formula w 3-yr Avg ''18-''20'!N22</f>
        <v>4195.7781716466961</v>
      </c>
      <c r="H39" s="192">
        <f t="shared" si="2"/>
        <v>51268.518062623145</v>
      </c>
      <c r="I39" s="162">
        <f t="shared" si="1"/>
        <v>65</v>
      </c>
      <c r="J39" s="71">
        <f t="shared" si="3"/>
        <v>13203</v>
      </c>
      <c r="K39" s="71">
        <f t="shared" si="4"/>
        <v>38065.518062623145</v>
      </c>
      <c r="L39" t="s">
        <v>256</v>
      </c>
    </row>
    <row r="40" spans="1:12" ht="16.350000000000001" customHeight="1">
      <c r="A40" s="142">
        <v>30</v>
      </c>
      <c r="B40" s="56"/>
      <c r="C40" s="191" t="s">
        <v>136</v>
      </c>
      <c r="D40" s="185">
        <f>'MORE Formula w 3-yr Avg ''18-''20'!K51</f>
        <v>1.9298400308344156E-2</v>
      </c>
      <c r="E40" s="71">
        <f t="shared" si="0"/>
        <v>16947.527077982595</v>
      </c>
      <c r="F40" s="340">
        <f t="shared" si="5"/>
        <v>1500</v>
      </c>
      <c r="G40" s="306"/>
      <c r="H40" s="192">
        <f t="shared" si="2"/>
        <v>15447.527077982595</v>
      </c>
      <c r="I40" s="162">
        <f t="shared" si="1"/>
        <v>19</v>
      </c>
      <c r="J40" s="71">
        <f t="shared" si="3"/>
        <v>3928</v>
      </c>
      <c r="K40" s="71">
        <f t="shared" si="4"/>
        <v>11519.527077982595</v>
      </c>
      <c r="L40" t="s">
        <v>256</v>
      </c>
    </row>
    <row r="41" spans="1:12" ht="16.350000000000001" customHeight="1">
      <c r="A41" s="142">
        <v>31</v>
      </c>
      <c r="B41" s="56"/>
      <c r="C41" s="191" t="s">
        <v>137</v>
      </c>
      <c r="D41" s="185">
        <f>'MORE Formula w 3-yr Avg ''18-''20'!K31</f>
        <v>8.2741378005714537E-3</v>
      </c>
      <c r="E41" s="71">
        <f t="shared" si="0"/>
        <v>7266.2071561192406</v>
      </c>
      <c r="F41" s="340">
        <f t="shared" si="5"/>
        <v>1500</v>
      </c>
      <c r="G41" s="306"/>
      <c r="H41" s="192">
        <f t="shared" si="2"/>
        <v>5766.2071561192406</v>
      </c>
      <c r="I41" s="162">
        <f t="shared" si="1"/>
        <v>8</v>
      </c>
      <c r="J41" s="71">
        <f t="shared" si="3"/>
        <v>1684</v>
      </c>
      <c r="K41" s="71">
        <f t="shared" si="4"/>
        <v>4082.2071561192406</v>
      </c>
    </row>
    <row r="42" spans="1:12" ht="16.350000000000001" customHeight="1">
      <c r="A42" s="142">
        <v>32</v>
      </c>
      <c r="B42" s="56"/>
      <c r="C42" s="191" t="s">
        <v>138</v>
      </c>
      <c r="D42" s="185">
        <f>'MORE Formula w 3-yr Avg ''18-''20'!K54</f>
        <v>8.2993606528091058E-3</v>
      </c>
      <c r="E42" s="71">
        <f t="shared" si="0"/>
        <v>7288.3574361658593</v>
      </c>
      <c r="F42" s="340">
        <f t="shared" si="5"/>
        <v>1500</v>
      </c>
      <c r="G42" s="306"/>
      <c r="H42" s="192">
        <f t="shared" si="2"/>
        <v>5788.3574361658593</v>
      </c>
      <c r="I42" s="162">
        <f t="shared" si="1"/>
        <v>8</v>
      </c>
      <c r="J42" s="71">
        <f t="shared" si="3"/>
        <v>1689</v>
      </c>
      <c r="K42" s="71">
        <f t="shared" si="4"/>
        <v>4099.3574361658593</v>
      </c>
      <c r="L42" t="s">
        <v>256</v>
      </c>
    </row>
    <row r="43" spans="1:12" ht="16.350000000000001" customHeight="1">
      <c r="A43" s="142">
        <v>33</v>
      </c>
      <c r="B43" s="56"/>
      <c r="C43" s="191" t="s">
        <v>139</v>
      </c>
      <c r="D43" s="185">
        <f>'MORE Formula w 3-yr Avg ''18-''20'!K30</f>
        <v>4.2299348562516298E-3</v>
      </c>
      <c r="E43" s="71">
        <f t="shared" si="0"/>
        <v>3714.6568818676251</v>
      </c>
      <c r="F43" s="340">
        <f t="shared" si="5"/>
        <v>1500</v>
      </c>
      <c r="G43" s="306"/>
      <c r="H43" s="192">
        <f t="shared" si="2"/>
        <v>2214.6568818676251</v>
      </c>
      <c r="I43" s="162">
        <f t="shared" si="1"/>
        <v>4</v>
      </c>
      <c r="J43" s="71">
        <f t="shared" si="3"/>
        <v>861</v>
      </c>
      <c r="K43" s="71">
        <f t="shared" si="4"/>
        <v>1353.6568818676251</v>
      </c>
    </row>
    <row r="44" spans="1:12" ht="16.350000000000001" customHeight="1">
      <c r="A44" s="142">
        <v>34</v>
      </c>
      <c r="B44" s="56"/>
      <c r="C44" s="191" t="s">
        <v>140</v>
      </c>
      <c r="D44" s="185">
        <f>'MORE Formula w 3-yr Avg ''18-''20'!K35</f>
        <v>1.5071175345308142E-2</v>
      </c>
      <c r="E44" s="71">
        <f t="shared" si="0"/>
        <v>13235.249978268741</v>
      </c>
      <c r="F44" s="340">
        <f t="shared" si="5"/>
        <v>1500</v>
      </c>
      <c r="G44" s="306"/>
      <c r="H44" s="192">
        <f t="shared" si="2"/>
        <v>11735.249978268741</v>
      </c>
      <c r="I44" s="162">
        <f t="shared" si="1"/>
        <v>15</v>
      </c>
      <c r="J44" s="71">
        <f t="shared" si="3"/>
        <v>3068</v>
      </c>
      <c r="K44" s="71">
        <f t="shared" si="4"/>
        <v>8667.249978268741</v>
      </c>
    </row>
    <row r="45" spans="1:12" ht="16.350000000000001" customHeight="1">
      <c r="A45" s="142">
        <v>35</v>
      </c>
      <c r="B45" s="56"/>
      <c r="C45" s="191" t="s">
        <v>141</v>
      </c>
      <c r="D45" s="185">
        <f>'MORE Formula w 3-yr Avg ''18-''20'!K49</f>
        <v>3.2660675301220264E-2</v>
      </c>
      <c r="E45" s="71">
        <f t="shared" si="0"/>
        <v>28682.049818051517</v>
      </c>
      <c r="F45" s="340">
        <f t="shared" si="5"/>
        <v>1500</v>
      </c>
      <c r="G45" s="306"/>
      <c r="H45" s="192">
        <f t="shared" si="2"/>
        <v>27182.049818051517</v>
      </c>
      <c r="I45" s="162">
        <f t="shared" si="1"/>
        <v>33</v>
      </c>
      <c r="J45" s="71">
        <f t="shared" si="3"/>
        <v>6648</v>
      </c>
      <c r="K45" s="71">
        <f t="shared" si="4"/>
        <v>20534.049818051517</v>
      </c>
      <c r="L45" t="s">
        <v>256</v>
      </c>
    </row>
    <row r="46" spans="1:12" ht="17.100000000000001" customHeight="1">
      <c r="A46" s="143">
        <v>36</v>
      </c>
      <c r="B46" s="58"/>
      <c r="C46" s="159" t="s">
        <v>142</v>
      </c>
      <c r="D46" s="185">
        <f>'MORE Formula w 3-yr Avg ''18-''20'!K21</f>
        <v>1.0017224498185101E-2</v>
      </c>
      <c r="E46" s="71">
        <f t="shared" si="0"/>
        <v>8796.9562614896859</v>
      </c>
      <c r="F46" s="340">
        <f t="shared" si="5"/>
        <v>1500</v>
      </c>
      <c r="G46" s="307"/>
      <c r="H46" s="192">
        <f t="shared" si="2"/>
        <v>7296.9562614896859</v>
      </c>
      <c r="I46" s="162">
        <f t="shared" si="1"/>
        <v>10</v>
      </c>
      <c r="J46" s="71">
        <f t="shared" si="3"/>
        <v>2039</v>
      </c>
      <c r="K46" s="71">
        <f t="shared" si="4"/>
        <v>5257.9562614896859</v>
      </c>
    </row>
    <row r="47" spans="1:12" ht="17.100000000000001" customHeight="1">
      <c r="A47" s="143">
        <v>37</v>
      </c>
      <c r="B47" s="58"/>
      <c r="C47" s="159" t="s">
        <v>143</v>
      </c>
      <c r="D47" s="185">
        <f>'MORE Formula w 3-yr Avg ''18-''20'!K11</f>
        <v>7.7505030499848138E-3</v>
      </c>
      <c r="E47" s="71">
        <f t="shared" si="0"/>
        <v>6806.3600199448138</v>
      </c>
      <c r="F47" s="340">
        <f t="shared" si="5"/>
        <v>1500</v>
      </c>
      <c r="G47" s="307"/>
      <c r="H47" s="192">
        <f t="shared" si="2"/>
        <v>5306.3600199448138</v>
      </c>
      <c r="I47" s="162">
        <f t="shared" si="1"/>
        <v>8</v>
      </c>
      <c r="J47" s="71">
        <f t="shared" si="3"/>
        <v>1578</v>
      </c>
      <c r="K47" s="71">
        <f t="shared" si="4"/>
        <v>3728.3600199448138</v>
      </c>
    </row>
    <row r="48" spans="1:12" ht="17.100000000000001" customHeight="1">
      <c r="A48" s="143">
        <v>38</v>
      </c>
      <c r="B48" s="58"/>
      <c r="C48" s="159" t="s">
        <v>144</v>
      </c>
      <c r="D48" s="185">
        <f>'MORE Formula w 3-yr Avg ''18-''20'!K18</f>
        <v>8.3691925164422771E-3</v>
      </c>
      <c r="E48" s="71">
        <f t="shared" si="0"/>
        <v>7349.6825916668286</v>
      </c>
      <c r="F48" s="340">
        <f t="shared" si="5"/>
        <v>1500</v>
      </c>
      <c r="G48" s="307"/>
      <c r="H48" s="192">
        <f t="shared" si="2"/>
        <v>5849.6825916668286</v>
      </c>
      <c r="I48" s="162">
        <f t="shared" si="1"/>
        <v>8</v>
      </c>
      <c r="J48" s="71">
        <f t="shared" si="3"/>
        <v>1704</v>
      </c>
      <c r="K48" s="71">
        <f t="shared" si="4"/>
        <v>4145.6825916668286</v>
      </c>
    </row>
    <row r="49" spans="1:12" ht="17.100000000000001" customHeight="1">
      <c r="A49" s="143">
        <v>39</v>
      </c>
      <c r="B49" s="58"/>
      <c r="C49" s="159" t="s">
        <v>145</v>
      </c>
      <c r="D49" s="185">
        <f>'MORE Formula w 3-yr Avg ''18-''20'!K47</f>
        <v>7.5706078311327954E-3</v>
      </c>
      <c r="E49" s="71">
        <f t="shared" si="0"/>
        <v>6648.379096967692</v>
      </c>
      <c r="F49" s="340">
        <f t="shared" si="5"/>
        <v>1500</v>
      </c>
      <c r="G49" s="307"/>
      <c r="H49" s="192">
        <f t="shared" si="2"/>
        <v>5148.379096967692</v>
      </c>
      <c r="I49" s="162">
        <f t="shared" si="1"/>
        <v>8</v>
      </c>
      <c r="J49" s="71">
        <f t="shared" si="3"/>
        <v>1541</v>
      </c>
      <c r="K49" s="71">
        <f t="shared" si="4"/>
        <v>3607.379096967692</v>
      </c>
    </row>
    <row r="50" spans="1:12" ht="17.100000000000001" customHeight="1">
      <c r="A50" s="143">
        <v>40</v>
      </c>
      <c r="B50" s="58"/>
      <c r="C50" s="159" t="s">
        <v>146</v>
      </c>
      <c r="D50" s="185">
        <f>'MORE Formula w 3-yr Avg ''18-''20'!K46</f>
        <v>1.4773920904887543E-2</v>
      </c>
      <c r="E50" s="71">
        <f t="shared" si="0"/>
        <v>12974.206182016856</v>
      </c>
      <c r="F50" s="340">
        <f t="shared" si="5"/>
        <v>1500</v>
      </c>
      <c r="G50" s="307"/>
      <c r="H50" s="192">
        <f t="shared" si="2"/>
        <v>11474.206182016856</v>
      </c>
      <c r="I50" s="162">
        <f t="shared" si="1"/>
        <v>15</v>
      </c>
      <c r="J50" s="71">
        <f t="shared" si="3"/>
        <v>3007</v>
      </c>
      <c r="K50" s="71">
        <f t="shared" si="4"/>
        <v>8467.2061820168565</v>
      </c>
    </row>
    <row r="51" spans="1:12" ht="17.100000000000001" customHeight="1">
      <c r="A51" s="143">
        <v>41</v>
      </c>
      <c r="B51" s="58"/>
      <c r="C51" s="159" t="s">
        <v>147</v>
      </c>
      <c r="D51" s="185">
        <f>'MORE Formula w 3-yr Avg ''18-''20'!K56</f>
        <v>1.067072566979701E-2</v>
      </c>
      <c r="E51" s="71">
        <f t="shared" si="0"/>
        <v>9370.8498808793483</v>
      </c>
      <c r="F51" s="340">
        <f t="shared" si="5"/>
        <v>1500</v>
      </c>
      <c r="G51" s="307"/>
      <c r="H51" s="192">
        <f t="shared" si="2"/>
        <v>7870.8498808793483</v>
      </c>
      <c r="I51" s="162">
        <f t="shared" si="1"/>
        <v>11</v>
      </c>
      <c r="J51" s="71">
        <f t="shared" si="3"/>
        <v>2172</v>
      </c>
      <c r="K51" s="71">
        <f t="shared" si="4"/>
        <v>5698.8498808793483</v>
      </c>
      <c r="L51" t="s">
        <v>256</v>
      </c>
    </row>
    <row r="52" spans="1:12" ht="17.100000000000001" customHeight="1">
      <c r="A52" s="143">
        <v>42</v>
      </c>
      <c r="B52" s="58"/>
      <c r="C52" s="159" t="s">
        <v>148</v>
      </c>
      <c r="D52" s="185">
        <f>'MORE Formula w 3-yr Avg ''18-''20'!K14</f>
        <v>1.8320337310831214E-2</v>
      </c>
      <c r="E52" s="71">
        <f t="shared" si="0"/>
        <v>16088.608780637687</v>
      </c>
      <c r="F52" s="340">
        <f t="shared" si="5"/>
        <v>1500</v>
      </c>
      <c r="G52" s="307"/>
      <c r="H52" s="192">
        <f t="shared" si="2"/>
        <v>14588.608780637687</v>
      </c>
      <c r="I52" s="162">
        <f t="shared" si="1"/>
        <v>18</v>
      </c>
      <c r="J52" s="71">
        <f t="shared" si="3"/>
        <v>3729</v>
      </c>
      <c r="K52" s="71">
        <f t="shared" si="4"/>
        <v>10859.608780637687</v>
      </c>
      <c r="L52" t="s">
        <v>256</v>
      </c>
    </row>
    <row r="53" spans="1:12" ht="17.100000000000001" customHeight="1">
      <c r="A53" s="143">
        <v>43</v>
      </c>
      <c r="B53" s="58"/>
      <c r="C53" s="159" t="s">
        <v>149</v>
      </c>
      <c r="D53" s="185">
        <f>'MORE Formula w 3-yr Avg ''18-''20'!K17</f>
        <v>6.4879012648322359E-3</v>
      </c>
      <c r="E53" s="71">
        <f t="shared" si="0"/>
        <v>5697.5645964541673</v>
      </c>
      <c r="F53" s="340">
        <f t="shared" si="5"/>
        <v>1500</v>
      </c>
      <c r="G53" s="307"/>
      <c r="H53" s="192">
        <f t="shared" si="2"/>
        <v>4197.5645964541673</v>
      </c>
      <c r="I53" s="162">
        <f t="shared" si="1"/>
        <v>6</v>
      </c>
      <c r="J53" s="71">
        <f t="shared" si="3"/>
        <v>1321</v>
      </c>
      <c r="K53" s="71">
        <f t="shared" si="4"/>
        <v>2876.5645964541673</v>
      </c>
    </row>
    <row r="54" spans="1:12" ht="17.100000000000001" customHeight="1">
      <c r="A54" s="143">
        <v>44</v>
      </c>
      <c r="B54" s="58"/>
      <c r="C54" s="159" t="s">
        <v>150</v>
      </c>
      <c r="D54" s="185">
        <f>'MORE Formula w 3-yr Avg ''18-''20'!K19</f>
        <v>6.4872759048594016E-3</v>
      </c>
      <c r="E54" s="71">
        <f t="shared" si="0"/>
        <v>5697.0154159571439</v>
      </c>
      <c r="F54" s="340">
        <f t="shared" si="5"/>
        <v>1500</v>
      </c>
      <c r="G54" s="307"/>
      <c r="H54" s="192">
        <f t="shared" si="2"/>
        <v>4197.0154159571439</v>
      </c>
      <c r="I54" s="162">
        <f t="shared" si="1"/>
        <v>6</v>
      </c>
      <c r="J54" s="71">
        <f t="shared" si="3"/>
        <v>1320</v>
      </c>
      <c r="K54" s="71">
        <f t="shared" si="4"/>
        <v>2877.0154159571439</v>
      </c>
    </row>
    <row r="55" spans="1:12" ht="17.100000000000001" customHeight="1">
      <c r="A55" s="143">
        <v>45</v>
      </c>
      <c r="B55" s="58"/>
      <c r="C55" s="159" t="s">
        <v>151</v>
      </c>
      <c r="D55" s="185">
        <f>'MORE Formula w 3-yr Avg ''18-''20'!K25</f>
        <v>1.806998486837319E-2</v>
      </c>
      <c r="E55" s="71">
        <f t="shared" si="0"/>
        <v>15868.753521662573</v>
      </c>
      <c r="F55" s="340">
        <f t="shared" si="5"/>
        <v>1500</v>
      </c>
      <c r="G55" s="307"/>
      <c r="H55" s="192">
        <f t="shared" si="2"/>
        <v>14368.753521662573</v>
      </c>
      <c r="I55" s="162">
        <f t="shared" si="1"/>
        <v>18</v>
      </c>
      <c r="J55" s="71">
        <f t="shared" si="3"/>
        <v>3678</v>
      </c>
      <c r="K55" s="71">
        <f t="shared" si="4"/>
        <v>10690.753521662573</v>
      </c>
    </row>
    <row r="56" spans="1:12" ht="17.100000000000001" customHeight="1">
      <c r="A56" s="143">
        <v>46</v>
      </c>
      <c r="B56" s="58"/>
      <c r="C56" s="159" t="s">
        <v>152</v>
      </c>
      <c r="D56" s="185">
        <f>'MORE Formula w 3-yr Avg ''18-''20'!K37</f>
        <v>2.6541527967036026E-2</v>
      </c>
      <c r="E56" s="71">
        <f t="shared" si="0"/>
        <v>23308.318654675601</v>
      </c>
      <c r="F56" s="340">
        <f t="shared" si="5"/>
        <v>1500</v>
      </c>
      <c r="G56" s="307"/>
      <c r="H56" s="192">
        <f t="shared" si="2"/>
        <v>21808.318654675601</v>
      </c>
      <c r="I56" s="162">
        <f t="shared" si="1"/>
        <v>27</v>
      </c>
      <c r="J56" s="71">
        <f t="shared" si="3"/>
        <v>5402</v>
      </c>
      <c r="K56" s="71">
        <f t="shared" si="4"/>
        <v>16406.318654675601</v>
      </c>
      <c r="L56" s="240" t="s">
        <v>256</v>
      </c>
    </row>
    <row r="57" spans="1:12" ht="17.100000000000001" customHeight="1">
      <c r="A57" s="143">
        <v>47</v>
      </c>
      <c r="B57" s="58"/>
      <c r="C57" s="159" t="s">
        <v>153</v>
      </c>
      <c r="D57" s="185">
        <f>'MORE Formula w 3-yr Avg ''18-''20'!K57</f>
        <v>6.7242873345636249E-3</v>
      </c>
      <c r="E57" s="71">
        <f t="shared" si="0"/>
        <v>5905.1548243290881</v>
      </c>
      <c r="F57" s="340">
        <f t="shared" si="5"/>
        <v>1500</v>
      </c>
      <c r="G57" s="307"/>
      <c r="H57" s="192">
        <f t="shared" si="2"/>
        <v>4405.1548243290881</v>
      </c>
      <c r="I57" s="162">
        <f t="shared" si="1"/>
        <v>7</v>
      </c>
      <c r="J57" s="71">
        <f t="shared" si="3"/>
        <v>1369</v>
      </c>
      <c r="K57" s="71">
        <f t="shared" si="4"/>
        <v>3036.1548243290881</v>
      </c>
    </row>
    <row r="58" spans="1:12" ht="17.100000000000001" customHeight="1">
      <c r="A58" s="143">
        <v>48</v>
      </c>
      <c r="B58" s="58"/>
      <c r="C58" s="159" t="s">
        <v>154</v>
      </c>
      <c r="D58" s="185">
        <f>'MORE Formula w 3-yr Avg ''18-''20'!K52</f>
        <v>3.1897527681038064E-3</v>
      </c>
      <c r="E58" s="71">
        <f t="shared" si="0"/>
        <v>2801.1866551517051</v>
      </c>
      <c r="F58" s="340">
        <f t="shared" si="5"/>
        <v>1400.5933275758525</v>
      </c>
      <c r="G58" s="307"/>
      <c r="H58" s="192">
        <f t="shared" si="2"/>
        <v>1400.5933275758525</v>
      </c>
      <c r="I58" s="162">
        <f>ROUND(D58*1000,0)</f>
        <v>3</v>
      </c>
      <c r="J58" s="71">
        <f t="shared" si="3"/>
        <v>649</v>
      </c>
      <c r="K58" s="71">
        <f t="shared" si="4"/>
        <v>751.59332757585253</v>
      </c>
    </row>
    <row r="59" spans="1:12" ht="17.100000000000001" customHeight="1">
      <c r="A59" s="143">
        <v>49</v>
      </c>
      <c r="B59" s="58"/>
      <c r="C59" s="159" t="s">
        <v>155</v>
      </c>
      <c r="D59" s="185">
        <f>'MORE Formula w 3-yr Avg ''18-''20'!K15</f>
        <v>1.7248887224041672E-2</v>
      </c>
      <c r="E59" s="71">
        <f t="shared" si="0"/>
        <v>15147.679529070587</v>
      </c>
      <c r="F59" s="340">
        <f t="shared" si="5"/>
        <v>1500</v>
      </c>
      <c r="G59" s="307"/>
      <c r="H59" s="192">
        <f t="shared" si="2"/>
        <v>13647.679529070587</v>
      </c>
      <c r="I59" s="162">
        <f>ROUND(D59*1000,0)</f>
        <v>17</v>
      </c>
      <c r="J59" s="71">
        <f t="shared" si="3"/>
        <v>3511</v>
      </c>
      <c r="K59" s="71">
        <f t="shared" si="4"/>
        <v>10136.679529070587</v>
      </c>
    </row>
    <row r="60" spans="1:12" ht="17.100000000000001" customHeight="1">
      <c r="A60" s="143">
        <v>50</v>
      </c>
      <c r="B60" s="58"/>
      <c r="C60" s="159" t="s">
        <v>156</v>
      </c>
      <c r="D60" s="185">
        <f>'MORE Formula w 3-yr Avg ''18-''20'!K10</f>
        <v>2.5518855958127563E-2</v>
      </c>
      <c r="E60" s="71">
        <f t="shared" si="0"/>
        <v>22410.225481876339</v>
      </c>
      <c r="F60" s="340">
        <f t="shared" si="5"/>
        <v>1500</v>
      </c>
      <c r="G60" s="307"/>
      <c r="H60" s="192">
        <f t="shared" si="2"/>
        <v>20910.225481876339</v>
      </c>
      <c r="I60" s="162">
        <f>ROUND(D60*1000,0)</f>
        <v>26</v>
      </c>
      <c r="J60" s="71">
        <f t="shared" si="3"/>
        <v>5194</v>
      </c>
      <c r="K60" s="71">
        <f t="shared" si="4"/>
        <v>15716.225481876339</v>
      </c>
      <c r="L60" t="s">
        <v>256</v>
      </c>
    </row>
    <row r="61" spans="1:12" ht="17.100000000000001" customHeight="1">
      <c r="A61" s="143">
        <v>51</v>
      </c>
      <c r="B61" s="58"/>
      <c r="C61" s="159" t="s">
        <v>157</v>
      </c>
      <c r="D61" s="185">
        <f>'MORE Formula w 3-yr Avg ''18-''20'!K42</f>
        <v>5.7314241510269346E-3</v>
      </c>
      <c r="E61" s="71">
        <f t="shared" si="0"/>
        <v>5033.2392552212868</v>
      </c>
      <c r="F61" s="340">
        <f t="shared" si="5"/>
        <v>1500</v>
      </c>
      <c r="G61" s="307"/>
      <c r="H61" s="192">
        <f t="shared" si="2"/>
        <v>3533.2392552212868</v>
      </c>
      <c r="I61" s="162"/>
      <c r="J61" s="71">
        <f t="shared" si="3"/>
        <v>1167</v>
      </c>
      <c r="K61" s="71">
        <f t="shared" si="4"/>
        <v>2366.2392552212868</v>
      </c>
    </row>
    <row r="62" spans="1:12" s="240" customFormat="1" ht="17.100000000000001" customHeight="1">
      <c r="A62" s="143">
        <v>52</v>
      </c>
      <c r="B62" s="58"/>
      <c r="C62" s="159" t="s">
        <v>367</v>
      </c>
      <c r="D62" s="185">
        <f>'MORE Formula w 3-yr Avg ''18-''20'!K32</f>
        <v>3.0705174666167214E-3</v>
      </c>
      <c r="E62" s="71">
        <f t="shared" si="0"/>
        <v>2696.4762403858722</v>
      </c>
      <c r="F62" s="340">
        <f t="shared" si="5"/>
        <v>1348.2381201929361</v>
      </c>
      <c r="G62" s="307"/>
      <c r="H62" s="192">
        <f t="shared" si="2"/>
        <v>1348.2381201929361</v>
      </c>
      <c r="I62" s="162"/>
      <c r="J62" s="71">
        <f t="shared" si="3"/>
        <v>625</v>
      </c>
      <c r="K62" s="71">
        <f t="shared" si="4"/>
        <v>723.23812019293609</v>
      </c>
    </row>
    <row r="63" spans="1:12" s="240" customFormat="1" ht="17.100000000000001" customHeight="1" thickBot="1">
      <c r="A63" s="143">
        <v>53</v>
      </c>
      <c r="B63" s="58"/>
      <c r="C63" s="159"/>
      <c r="D63" s="185"/>
      <c r="E63" s="71"/>
      <c r="F63" s="193"/>
      <c r="G63" s="307"/>
      <c r="H63" s="353"/>
      <c r="I63" s="162"/>
      <c r="J63" s="71"/>
      <c r="K63" s="71"/>
    </row>
    <row r="64" spans="1:12" ht="17.100000000000001" customHeight="1" thickBot="1">
      <c r="A64" s="142"/>
      <c r="B64" s="56"/>
      <c r="C64" s="56" t="s">
        <v>158</v>
      </c>
      <c r="D64" s="56"/>
      <c r="E64" s="72"/>
      <c r="F64" s="69"/>
      <c r="G64" s="308"/>
      <c r="H64" s="355">
        <f>SUM(E11:E61)-SUM(H11:H61)</f>
        <v>93400.593327575829</v>
      </c>
      <c r="I64" s="163"/>
      <c r="J64" s="6"/>
      <c r="K64" s="6"/>
    </row>
    <row r="65" spans="1:11" ht="5.25" customHeight="1" thickBot="1">
      <c r="A65" s="143"/>
      <c r="B65" s="58"/>
      <c r="C65" s="58"/>
      <c r="D65" s="58"/>
      <c r="E65" s="73"/>
      <c r="F65" s="70"/>
      <c r="G65" s="309"/>
      <c r="H65" s="354"/>
      <c r="I65" s="164"/>
      <c r="J65" s="16"/>
      <c r="K65" s="16"/>
    </row>
    <row r="66" spans="1:11" ht="18.75" customHeight="1" thickBot="1">
      <c r="A66" s="59"/>
      <c r="B66" s="60"/>
      <c r="C66" s="61" t="s">
        <v>159</v>
      </c>
      <c r="D66" s="78">
        <f>SUM(D11:D64)</f>
        <v>1.0000000000000002</v>
      </c>
      <c r="E66" s="74">
        <f>SUM(E11:E65)</f>
        <v>878183.00000000035</v>
      </c>
      <c r="F66" s="139">
        <f>SUM(F11:F65)</f>
        <v>74748.831447768796</v>
      </c>
      <c r="G66" s="139">
        <f>SUM(G11:G65)</f>
        <v>20000</v>
      </c>
      <c r="H66" s="140">
        <f>SUM(H11:H65)-H64</f>
        <v>783434.16855223151</v>
      </c>
      <c r="I66" s="165">
        <f>SUM(I11:I64)</f>
        <v>991</v>
      </c>
      <c r="J66" s="74">
        <f>SUM(J11:J65)</f>
        <v>203543</v>
      </c>
      <c r="K66" s="74">
        <f>SUM(K11:K65)</f>
        <v>579891.16855223104</v>
      </c>
    </row>
    <row r="67" spans="1:11" ht="13.5" customHeight="1">
      <c r="A67" s="29"/>
      <c r="B67" s="31"/>
      <c r="C67" s="29"/>
      <c r="D67" s="29"/>
      <c r="E67" s="132" t="s">
        <v>160</v>
      </c>
      <c r="F67" s="29"/>
      <c r="G67" s="29"/>
      <c r="H67" s="29"/>
    </row>
    <row r="68" spans="1:11" ht="27" hidden="1" customHeight="1">
      <c r="A68" s="29"/>
      <c r="B68" s="29"/>
      <c r="C68" s="29"/>
      <c r="D68" s="29"/>
      <c r="E68" s="53"/>
      <c r="F68" s="52" t="s">
        <v>161</v>
      </c>
      <c r="G68" s="52"/>
      <c r="H68" s="45">
        <v>0</v>
      </c>
    </row>
    <row r="69" spans="1:11">
      <c r="A69" s="29"/>
      <c r="B69" s="29"/>
      <c r="C69" s="29" t="s">
        <v>162</v>
      </c>
      <c r="D69" s="29"/>
      <c r="E69" s="54"/>
      <c r="F69" s="29"/>
      <c r="G69" s="29"/>
      <c r="H69" s="29"/>
    </row>
    <row r="70" spans="1:11">
      <c r="A70" s="29"/>
      <c r="B70" s="29"/>
      <c r="C70" s="29"/>
      <c r="D70" s="29"/>
      <c r="E70" s="29"/>
      <c r="F70" s="29"/>
      <c r="G70" s="29"/>
      <c r="H70" s="29"/>
    </row>
    <row r="71" spans="1:11">
      <c r="F71" s="55"/>
      <c r="G71" s="55"/>
    </row>
    <row r="72" spans="1:11" ht="15.75" thickBot="1">
      <c r="A72" s="212" t="s">
        <v>256</v>
      </c>
      <c r="B72" s="148" t="s">
        <v>315</v>
      </c>
      <c r="C72" s="148"/>
      <c r="D72" s="147"/>
      <c r="E72" s="147"/>
      <c r="F72" s="147"/>
      <c r="G72" s="147"/>
      <c r="H72" s="288">
        <v>357</v>
      </c>
      <c r="J72" s="322" t="s">
        <v>351</v>
      </c>
    </row>
    <row r="73" spans="1:11" ht="19.5" customHeight="1">
      <c r="C73" s="128" t="s">
        <v>163</v>
      </c>
      <c r="D73" s="289">
        <f>$H$72*F73</f>
        <v>714</v>
      </c>
      <c r="E73" s="128" t="s">
        <v>375</v>
      </c>
      <c r="F73" s="287">
        <v>2</v>
      </c>
      <c r="G73" s="287"/>
      <c r="H73" s="226"/>
    </row>
    <row r="74" spans="1:11" ht="14.25" customHeight="1">
      <c r="C74" s="128" t="s">
        <v>164</v>
      </c>
      <c r="D74" s="290">
        <f>$H$72*F74</f>
        <v>357</v>
      </c>
      <c r="E74" s="128" t="s">
        <v>375</v>
      </c>
      <c r="F74" s="287">
        <v>1</v>
      </c>
      <c r="G74" s="287"/>
    </row>
    <row r="75" spans="1:11" ht="14.25" customHeight="1">
      <c r="C75" s="128" t="s">
        <v>165</v>
      </c>
      <c r="D75" s="290">
        <f t="shared" ref="D75:D77" si="6">$H$72*F75</f>
        <v>357</v>
      </c>
      <c r="E75" s="128" t="s">
        <v>375</v>
      </c>
      <c r="F75" s="287">
        <v>1</v>
      </c>
      <c r="G75" s="287"/>
    </row>
    <row r="76" spans="1:11" ht="14.25" customHeight="1">
      <c r="C76" s="128" t="s">
        <v>166</v>
      </c>
      <c r="D76" s="290">
        <f t="shared" si="6"/>
        <v>357</v>
      </c>
      <c r="E76" s="128" t="s">
        <v>375</v>
      </c>
      <c r="F76" s="287">
        <v>1</v>
      </c>
      <c r="G76" s="287"/>
    </row>
    <row r="77" spans="1:11" ht="14.25" customHeight="1">
      <c r="C77" s="128" t="s">
        <v>167</v>
      </c>
      <c r="D77" s="290">
        <f t="shared" si="6"/>
        <v>357</v>
      </c>
      <c r="E77" s="128" t="s">
        <v>375</v>
      </c>
      <c r="F77" s="287">
        <v>1</v>
      </c>
      <c r="G77" s="287"/>
    </row>
    <row r="78" spans="1:11" ht="30" customHeight="1">
      <c r="C78" s="247" t="s">
        <v>309</v>
      </c>
      <c r="D78" s="290">
        <v>1697</v>
      </c>
      <c r="E78" s="128" t="s">
        <v>314</v>
      </c>
      <c r="F78" s="287"/>
      <c r="G78" s="287"/>
    </row>
    <row r="79" spans="1:11">
      <c r="A79" s="240"/>
      <c r="B79" s="240"/>
      <c r="C79" s="247" t="s">
        <v>303</v>
      </c>
      <c r="D79" s="290">
        <f>$H$72*F79</f>
        <v>2142</v>
      </c>
      <c r="E79" s="128" t="s">
        <v>375</v>
      </c>
      <c r="F79" s="287">
        <v>6</v>
      </c>
      <c r="G79" s="287"/>
      <c r="H79" s="240"/>
    </row>
    <row r="80" spans="1:11">
      <c r="C80" s="128" t="s">
        <v>169</v>
      </c>
      <c r="D80" s="290">
        <f>$H$72*F80</f>
        <v>357</v>
      </c>
      <c r="E80" s="128" t="s">
        <v>375</v>
      </c>
      <c r="F80" s="287">
        <v>1</v>
      </c>
      <c r="G80" s="287"/>
    </row>
    <row r="81" spans="1:9">
      <c r="A81" s="240"/>
      <c r="B81" s="240"/>
      <c r="C81" s="128" t="s">
        <v>215</v>
      </c>
      <c r="D81" s="290">
        <f>$H$72*F81</f>
        <v>357</v>
      </c>
      <c r="E81" s="128" t="s">
        <v>375</v>
      </c>
      <c r="F81" s="287">
        <v>1</v>
      </c>
      <c r="G81" s="287"/>
    </row>
    <row r="82" spans="1:9">
      <c r="C82" s="128" t="s">
        <v>170</v>
      </c>
      <c r="D82" s="290">
        <f t="shared" ref="D82:D94" si="7">$H$72*F82</f>
        <v>357</v>
      </c>
      <c r="E82" s="128" t="s">
        <v>375</v>
      </c>
      <c r="F82" s="287">
        <v>1</v>
      </c>
      <c r="G82" s="287"/>
    </row>
    <row r="83" spans="1:9">
      <c r="C83" s="128" t="s">
        <v>172</v>
      </c>
      <c r="D83" s="290">
        <f t="shared" si="7"/>
        <v>714</v>
      </c>
      <c r="E83" s="128" t="s">
        <v>375</v>
      </c>
      <c r="F83" s="287">
        <v>2</v>
      </c>
      <c r="G83" s="287"/>
    </row>
    <row r="84" spans="1:9">
      <c r="C84" s="128" t="s">
        <v>173</v>
      </c>
      <c r="D84" s="290">
        <f t="shared" si="7"/>
        <v>714</v>
      </c>
      <c r="E84" s="128" t="s">
        <v>375</v>
      </c>
      <c r="F84" s="287">
        <v>2</v>
      </c>
      <c r="G84" s="287"/>
    </row>
    <row r="85" spans="1:9">
      <c r="C85" s="128" t="s">
        <v>174</v>
      </c>
      <c r="D85" s="290">
        <f t="shared" si="7"/>
        <v>714</v>
      </c>
      <c r="E85" s="128" t="s">
        <v>375</v>
      </c>
      <c r="F85" s="287">
        <v>2</v>
      </c>
      <c r="G85" s="287"/>
    </row>
    <row r="86" spans="1:9" s="240" customFormat="1">
      <c r="C86" s="128" t="s">
        <v>222</v>
      </c>
      <c r="D86" s="290">
        <f t="shared" si="7"/>
        <v>357</v>
      </c>
      <c r="E86" s="128" t="s">
        <v>375</v>
      </c>
      <c r="F86" s="287">
        <v>1</v>
      </c>
      <c r="G86" s="287"/>
    </row>
    <row r="87" spans="1:9">
      <c r="C87" s="128" t="s">
        <v>175</v>
      </c>
      <c r="D87" s="290">
        <f t="shared" si="7"/>
        <v>357</v>
      </c>
      <c r="E87" s="128" t="s">
        <v>375</v>
      </c>
      <c r="F87" s="287">
        <v>1</v>
      </c>
      <c r="G87" s="287"/>
    </row>
    <row r="88" spans="1:9">
      <c r="C88" s="128" t="s">
        <v>176</v>
      </c>
      <c r="D88" s="290">
        <f t="shared" si="7"/>
        <v>357</v>
      </c>
      <c r="E88" s="128" t="s">
        <v>375</v>
      </c>
      <c r="F88" s="287">
        <v>1</v>
      </c>
      <c r="G88" s="287"/>
    </row>
    <row r="89" spans="1:9">
      <c r="C89" s="128" t="s">
        <v>177</v>
      </c>
      <c r="D89" s="290">
        <f t="shared" si="7"/>
        <v>357</v>
      </c>
      <c r="E89" s="128" t="s">
        <v>375</v>
      </c>
      <c r="F89" s="287">
        <v>1</v>
      </c>
      <c r="G89" s="287"/>
    </row>
    <row r="90" spans="1:9" s="240" customFormat="1">
      <c r="A90"/>
      <c r="B90"/>
      <c r="C90" s="128" t="s">
        <v>178</v>
      </c>
      <c r="D90" s="290">
        <f t="shared" si="7"/>
        <v>1428</v>
      </c>
      <c r="E90" s="128" t="s">
        <v>375</v>
      </c>
      <c r="F90" s="287">
        <v>4</v>
      </c>
      <c r="G90" s="287"/>
      <c r="H90"/>
    </row>
    <row r="91" spans="1:9">
      <c r="A91" s="240"/>
      <c r="B91" s="240"/>
      <c r="C91" s="128" t="s">
        <v>230</v>
      </c>
      <c r="D91" s="290">
        <f t="shared" si="7"/>
        <v>714</v>
      </c>
      <c r="E91" s="128" t="s">
        <v>375</v>
      </c>
      <c r="F91" s="287">
        <v>2</v>
      </c>
      <c r="G91" s="287"/>
      <c r="H91" s="240"/>
    </row>
    <row r="92" spans="1:9" ht="15" thickBot="1">
      <c r="A92" s="240"/>
      <c r="B92" s="240"/>
      <c r="C92" s="128" t="s">
        <v>231</v>
      </c>
      <c r="D92" s="290">
        <f t="shared" si="7"/>
        <v>357</v>
      </c>
      <c r="E92" s="128" t="s">
        <v>375</v>
      </c>
      <c r="F92" s="287">
        <v>1</v>
      </c>
      <c r="G92" s="287"/>
    </row>
    <row r="93" spans="1:9" ht="15" thickBot="1">
      <c r="C93" s="128" t="s">
        <v>179</v>
      </c>
      <c r="D93" s="290">
        <f t="shared" si="7"/>
        <v>357</v>
      </c>
      <c r="E93" s="128" t="s">
        <v>375</v>
      </c>
      <c r="F93" s="287">
        <v>1</v>
      </c>
      <c r="G93" s="287"/>
      <c r="I93" s="130"/>
    </row>
    <row r="94" spans="1:9" ht="15" customHeight="1" thickBot="1">
      <c r="C94" s="128" t="s">
        <v>180</v>
      </c>
      <c r="D94" s="290">
        <f t="shared" si="7"/>
        <v>357</v>
      </c>
      <c r="E94" s="128" t="s">
        <v>375</v>
      </c>
      <c r="F94" s="287">
        <v>1</v>
      </c>
      <c r="G94" s="287"/>
    </row>
    <row r="95" spans="1:9" ht="23.25" customHeight="1" thickBot="1">
      <c r="A95" s="130"/>
      <c r="B95" s="130"/>
      <c r="C95" s="131" t="s">
        <v>182</v>
      </c>
      <c r="D95" s="286">
        <f>SUM(D73:D94)</f>
        <v>13835</v>
      </c>
      <c r="E95" s="245"/>
      <c r="F95" s="294">
        <f>SUM(F73:F94)</f>
        <v>34</v>
      </c>
      <c r="G95" s="294"/>
      <c r="H95" s="130"/>
    </row>
    <row r="96" spans="1:9">
      <c r="C96" s="128"/>
    </row>
    <row r="97" spans="3:4" ht="15">
      <c r="C97" s="149"/>
      <c r="D97" s="150"/>
    </row>
  </sheetData>
  <mergeCells count="3">
    <mergeCell ref="J6:K6"/>
    <mergeCell ref="J7:K7"/>
    <mergeCell ref="A3:C3"/>
  </mergeCells>
  <phoneticPr fontId="0" type="noConversion"/>
  <pageMargins left="0.48" right="0.48" top="0.6" bottom="0.6" header="0.37" footer="0.26"/>
  <pageSetup scale="70" fitToHeight="2" orientation="portrait" verticalDpi="300" r:id="rId1"/>
  <headerFooter>
    <oddHeader>&amp;C&amp;K0000002022 Recommended MORE Budget</oddHeader>
    <oddFooter>&amp;C&amp;A</oddFooter>
  </headerFooter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  <pageSetUpPr fitToPage="1"/>
  </sheetPr>
  <dimension ref="A1:AK69"/>
  <sheetViews>
    <sheetView showRuler="0" zoomScaleNormal="100" zoomScalePageLayoutView="96" workbookViewId="0"/>
  </sheetViews>
  <sheetFormatPr defaultColWidth="8" defaultRowHeight="12.75"/>
  <cols>
    <col min="1" max="1" width="3.75" style="84" customWidth="1"/>
    <col min="2" max="4" width="11.75" style="84" customWidth="1"/>
    <col min="5" max="5" width="9.375" style="84" customWidth="1"/>
    <col min="6" max="6" width="10.375" style="84" bestFit="1" customWidth="1"/>
    <col min="7" max="7" width="9.25" style="84" bestFit="1" customWidth="1"/>
    <col min="8" max="8" width="8.5" style="84" bestFit="1" customWidth="1"/>
    <col min="9" max="10" width="9.875" style="84" customWidth="1"/>
    <col min="11" max="11" width="8.375" style="84" customWidth="1"/>
    <col min="12" max="12" width="9.25" style="84" bestFit="1" customWidth="1"/>
    <col min="13" max="13" width="8.875" style="84" bestFit="1" customWidth="1"/>
    <col min="14" max="14" width="7.125" style="84" bestFit="1" customWidth="1"/>
    <col min="15" max="15" width="9.25" style="84" bestFit="1" customWidth="1"/>
    <col min="16" max="16" width="9.25" style="84" customWidth="1"/>
    <col min="17" max="17" width="8.75" style="84" bestFit="1" customWidth="1"/>
    <col min="18" max="18" width="7" style="84" customWidth="1"/>
    <col min="19" max="19" width="0.75" style="84" customWidth="1"/>
    <col min="20" max="20" width="8.125" style="84" customWidth="1"/>
    <col min="21" max="22" width="7.375" style="84" customWidth="1"/>
    <col min="23" max="23" width="8.125" style="84" customWidth="1"/>
    <col min="24" max="24" width="9.125" style="84" customWidth="1"/>
    <col min="25" max="25" width="8" style="84"/>
    <col min="26" max="27" width="11.25" style="84" bestFit="1" customWidth="1"/>
    <col min="28" max="29" width="10" style="84" customWidth="1"/>
    <col min="30" max="32" width="8" style="84"/>
    <col min="33" max="34" width="7.75" style="84" customWidth="1"/>
    <col min="35" max="35" width="9.125" style="84" customWidth="1"/>
    <col min="36" max="16384" width="8" style="84"/>
  </cols>
  <sheetData>
    <row r="1" spans="1:37" ht="15" customHeight="1">
      <c r="B1" s="83" t="s">
        <v>372</v>
      </c>
      <c r="C1" s="83"/>
      <c r="D1" s="83"/>
      <c r="K1" s="83" t="s">
        <v>183</v>
      </c>
      <c r="M1" s="194">
        <f>100000+20000</f>
        <v>120000</v>
      </c>
      <c r="N1" s="296" t="s">
        <v>373</v>
      </c>
      <c r="O1" s="146"/>
      <c r="U1" s="83"/>
      <c r="V1" s="83"/>
    </row>
    <row r="2" spans="1:37">
      <c r="B2" s="83" t="s">
        <v>393</v>
      </c>
      <c r="C2" s="83"/>
      <c r="D2" s="83"/>
      <c r="K2" s="153" t="s">
        <v>184</v>
      </c>
      <c r="M2" s="195">
        <v>1500</v>
      </c>
      <c r="N2" s="310" t="s">
        <v>371</v>
      </c>
      <c r="O2" s="146"/>
    </row>
    <row r="3" spans="1:37">
      <c r="F3" s="86" t="s">
        <v>327</v>
      </c>
      <c r="K3" s="83" t="s">
        <v>324</v>
      </c>
      <c r="M3" s="298">
        <v>20000</v>
      </c>
      <c r="N3" s="83" t="s">
        <v>374</v>
      </c>
    </row>
    <row r="4" spans="1:37" ht="13.5" thickBot="1">
      <c r="A4" s="83"/>
      <c r="B4" s="83"/>
      <c r="C4" s="83"/>
      <c r="D4" s="83"/>
      <c r="F4" s="86" t="s">
        <v>185</v>
      </c>
      <c r="G4" s="86" t="s">
        <v>186</v>
      </c>
      <c r="H4" s="86" t="s">
        <v>187</v>
      </c>
      <c r="Z4" s="89"/>
      <c r="AA4" s="89"/>
      <c r="AB4" s="89"/>
      <c r="AC4" s="89"/>
      <c r="AD4" s="89"/>
      <c r="AE4" s="89"/>
      <c r="AF4" s="346"/>
      <c r="AG4" s="89"/>
      <c r="AH4" s="89"/>
      <c r="AI4" s="89"/>
      <c r="AJ4" s="89"/>
      <c r="AK4" s="89"/>
    </row>
    <row r="5" spans="1:37" ht="13.5" thickBot="1">
      <c r="C5" s="83" t="s">
        <v>394</v>
      </c>
      <c r="E5" s="152">
        <f>'2022 Recommended budget'!H47</f>
        <v>903399</v>
      </c>
      <c r="F5" s="278">
        <f>M1-(74784)-M3</f>
        <v>25216</v>
      </c>
      <c r="G5" s="196">
        <f>E5-F5</f>
        <v>878183</v>
      </c>
      <c r="H5" s="197">
        <f>'2022 Recommended budget'!H40</f>
        <v>203545</v>
      </c>
      <c r="L5" s="86">
        <v>10</v>
      </c>
      <c r="M5" s="86">
        <v>11</v>
      </c>
      <c r="N5" s="86">
        <v>12</v>
      </c>
      <c r="O5" s="86">
        <v>13</v>
      </c>
      <c r="P5" s="86">
        <v>14</v>
      </c>
      <c r="Q5" s="86">
        <v>15</v>
      </c>
      <c r="R5" s="86">
        <v>16</v>
      </c>
      <c r="Z5" s="89"/>
      <c r="AA5" s="89"/>
      <c r="AB5" s="89"/>
      <c r="AC5" s="89"/>
      <c r="AD5" s="89"/>
      <c r="AE5" s="89"/>
      <c r="AF5" s="346"/>
      <c r="AG5" s="89"/>
      <c r="AH5" s="89"/>
      <c r="AI5" s="89"/>
      <c r="AJ5" s="89"/>
      <c r="AK5" s="89"/>
    </row>
    <row r="6" spans="1:37" ht="12" customHeight="1" thickBot="1">
      <c r="E6" s="85"/>
      <c r="F6" s="356" t="s">
        <v>376</v>
      </c>
      <c r="L6" s="359" t="s">
        <v>395</v>
      </c>
      <c r="M6" s="360"/>
      <c r="N6" s="360"/>
      <c r="O6" s="360"/>
      <c r="P6" s="360"/>
      <c r="Q6" s="360"/>
      <c r="R6" s="361"/>
      <c r="T6" s="86">
        <v>17</v>
      </c>
      <c r="U6" s="86">
        <v>18</v>
      </c>
      <c r="V6" s="86">
        <v>19</v>
      </c>
      <c r="W6" s="86">
        <v>20</v>
      </c>
      <c r="X6" s="86">
        <v>21</v>
      </c>
      <c r="Z6" s="89"/>
      <c r="AA6" s="89"/>
      <c r="AB6" s="89"/>
      <c r="AC6" s="89"/>
      <c r="AD6" s="89"/>
      <c r="AE6" s="323"/>
      <c r="AF6" s="347"/>
      <c r="AG6" s="89"/>
      <c r="AH6" s="89"/>
      <c r="AI6" s="89"/>
      <c r="AJ6" s="89"/>
      <c r="AK6" s="89"/>
    </row>
    <row r="7" spans="1:37" ht="12.75" customHeight="1" thickBot="1">
      <c r="C7" s="86">
        <v>1</v>
      </c>
      <c r="D7" s="86">
        <v>2</v>
      </c>
      <c r="E7" s="86">
        <v>3</v>
      </c>
      <c r="F7" s="86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362" t="s">
        <v>188</v>
      </c>
      <c r="M7" s="363"/>
      <c r="N7" s="363"/>
      <c r="O7" s="363"/>
      <c r="P7" s="363"/>
      <c r="Q7" s="363"/>
      <c r="R7" s="364"/>
      <c r="T7" s="359" t="s">
        <v>341</v>
      </c>
      <c r="U7" s="360"/>
      <c r="V7" s="360"/>
      <c r="W7" s="360"/>
      <c r="X7" s="361"/>
      <c r="Z7" s="89"/>
      <c r="AA7" s="89"/>
      <c r="AB7" s="348"/>
      <c r="AC7" s="89"/>
      <c r="AD7" s="89"/>
      <c r="AE7" s="323"/>
      <c r="AF7" s="89"/>
      <c r="AG7" s="89"/>
      <c r="AH7" s="89"/>
      <c r="AI7" s="89"/>
      <c r="AJ7" s="89"/>
      <c r="AK7" s="89"/>
    </row>
    <row r="8" spans="1:37" s="87" customFormat="1" ht="27" customHeight="1" thickBot="1">
      <c r="B8" s="87" t="s">
        <v>189</v>
      </c>
      <c r="C8" s="341" t="s">
        <v>361</v>
      </c>
      <c r="D8" s="345" t="s">
        <v>362</v>
      </c>
      <c r="E8" s="341" t="s">
        <v>339</v>
      </c>
      <c r="F8" s="341" t="s">
        <v>190</v>
      </c>
      <c r="G8" s="341" t="s">
        <v>340</v>
      </c>
      <c r="H8" s="341" t="s">
        <v>191</v>
      </c>
      <c r="I8" s="341" t="s">
        <v>368</v>
      </c>
      <c r="J8" s="341" t="s">
        <v>369</v>
      </c>
      <c r="K8" s="88" t="s">
        <v>370</v>
      </c>
      <c r="L8" s="330" t="s">
        <v>336</v>
      </c>
      <c r="M8" s="331" t="s">
        <v>192</v>
      </c>
      <c r="N8" s="331" t="s">
        <v>323</v>
      </c>
      <c r="O8" s="332" t="s">
        <v>193</v>
      </c>
      <c r="P8" s="333" t="s">
        <v>194</v>
      </c>
      <c r="Q8" s="331" t="s">
        <v>195</v>
      </c>
      <c r="R8" s="334" t="s">
        <v>196</v>
      </c>
      <c r="S8" s="88"/>
      <c r="T8" s="220" t="s">
        <v>320</v>
      </c>
      <c r="U8" s="219" t="s">
        <v>192</v>
      </c>
      <c r="V8" s="88" t="s">
        <v>323</v>
      </c>
      <c r="W8" s="236" t="s">
        <v>193</v>
      </c>
      <c r="X8" s="283" t="s">
        <v>194</v>
      </c>
      <c r="Z8" s="341"/>
      <c r="AA8" s="345"/>
      <c r="AB8" s="341"/>
      <c r="AC8" s="341"/>
      <c r="AD8" s="341"/>
      <c r="AE8" s="341"/>
      <c r="AF8" s="341"/>
      <c r="AG8" s="341"/>
      <c r="AH8" s="341"/>
      <c r="AI8" s="341"/>
      <c r="AJ8" s="341"/>
      <c r="AK8" s="349"/>
    </row>
    <row r="9" spans="1:37" s="89" customFormat="1" ht="15.75" customHeight="1">
      <c r="A9" s="138">
        <v>1</v>
      </c>
      <c r="B9" s="89" t="s">
        <v>163</v>
      </c>
      <c r="C9" s="342">
        <v>191647</v>
      </c>
      <c r="D9" s="343">
        <v>194885</v>
      </c>
      <c r="E9" s="258">
        <v>59620</v>
      </c>
      <c r="F9" s="198">
        <f t="shared" ref="F9:F40" si="0">E9/$E$59</f>
        <v>4.1131538134634382E-2</v>
      </c>
      <c r="G9" s="246">
        <v>74687</v>
      </c>
      <c r="H9" s="198">
        <f t="shared" ref="H9:H40" si="1">G9/$G$59</f>
        <v>3.766671810808548E-2</v>
      </c>
      <c r="I9" s="342">
        <f>E9+G9</f>
        <v>134307</v>
      </c>
      <c r="J9" s="344">
        <f>ROUND((C9+D9+I9)/3,0)</f>
        <v>173613</v>
      </c>
      <c r="K9" s="200">
        <f>J9/$J$59</f>
        <v>3.6190206987897405E-2</v>
      </c>
      <c r="L9" s="90">
        <f>ROUND(K9*$G$5,0)</f>
        <v>31782</v>
      </c>
      <c r="M9" s="233">
        <f>IF(L9&lt;(M2*2), L9/2,$M$2)</f>
        <v>1500</v>
      </c>
      <c r="N9" s="233"/>
      <c r="O9" s="201">
        <f>L9-M9-N9</f>
        <v>30282</v>
      </c>
      <c r="P9" s="202">
        <f>ROUND(K9*$H$5,0)</f>
        <v>7366</v>
      </c>
      <c r="Q9" s="233">
        <f t="shared" ref="Q9:Q58" si="2">O9-W9</f>
        <v>373</v>
      </c>
      <c r="R9" s="203">
        <f>(O9-W9)/W9</f>
        <v>1.2471162526329868E-2</v>
      </c>
      <c r="S9" s="91"/>
      <c r="T9" s="221">
        <v>30909</v>
      </c>
      <c r="U9" s="232">
        <v>1000</v>
      </c>
      <c r="V9" s="232"/>
      <c r="W9" s="233">
        <v>29909</v>
      </c>
      <c r="X9" s="284">
        <v>7089</v>
      </c>
      <c r="Z9" s="199"/>
      <c r="AA9" s="326"/>
      <c r="AB9" s="93"/>
      <c r="AC9" s="93"/>
      <c r="AD9" s="327"/>
      <c r="AE9" s="94"/>
      <c r="AF9" s="327"/>
      <c r="AG9" s="327"/>
      <c r="AH9" s="326"/>
      <c r="AI9" s="93"/>
    </row>
    <row r="10" spans="1:37" s="89" customFormat="1" ht="12.75" customHeight="1">
      <c r="A10" s="138">
        <v>2</v>
      </c>
      <c r="B10" s="146" t="s">
        <v>164</v>
      </c>
      <c r="C10" s="342">
        <v>140657</v>
      </c>
      <c r="D10" s="343">
        <v>137254</v>
      </c>
      <c r="E10" s="258">
        <v>42491</v>
      </c>
      <c r="F10" s="198">
        <f t="shared" si="0"/>
        <v>2.9314327186829078E-2</v>
      </c>
      <c r="G10" s="246">
        <v>46858</v>
      </c>
      <c r="H10" s="198">
        <f t="shared" si="1"/>
        <v>2.3631784341433842E-2</v>
      </c>
      <c r="I10" s="342">
        <f t="shared" ref="I10:I58" si="3">E10+G10</f>
        <v>89349</v>
      </c>
      <c r="J10" s="344">
        <f>ROUND((C10+D10+I10)/3,0)</f>
        <v>122420</v>
      </c>
      <c r="K10" s="200">
        <f>J10/$J$59</f>
        <v>2.5518855958127563E-2</v>
      </c>
      <c r="L10" s="92">
        <f>ROUND(K10*$G$5,0)</f>
        <v>22410</v>
      </c>
      <c r="M10" s="232">
        <f>IF(L10&lt;($M$2*2), L10/2,$M$2)</f>
        <v>1500</v>
      </c>
      <c r="N10" s="232"/>
      <c r="O10" s="304">
        <f>L10-M10-N10</f>
        <v>20910</v>
      </c>
      <c r="P10" s="134">
        <f t="shared" ref="P10:P36" si="4">ROUND(K10*$H$5,0)</f>
        <v>5194</v>
      </c>
      <c r="Q10" s="94">
        <f t="shared" si="2"/>
        <v>141</v>
      </c>
      <c r="R10" s="204">
        <f>(O10-W10)/W10</f>
        <v>6.7889643218257984E-3</v>
      </c>
      <c r="S10" s="91"/>
      <c r="T10" s="222">
        <v>21769</v>
      </c>
      <c r="U10" s="232">
        <v>1000</v>
      </c>
      <c r="V10" s="232"/>
      <c r="W10" s="223">
        <v>20769</v>
      </c>
      <c r="X10" s="285">
        <v>4992</v>
      </c>
      <c r="Z10" s="199"/>
      <c r="AA10" s="326"/>
      <c r="AB10" s="93"/>
      <c r="AC10" s="93"/>
      <c r="AD10" s="327"/>
      <c r="AE10" s="94"/>
      <c r="AF10" s="327"/>
      <c r="AG10" s="327"/>
      <c r="AH10" s="326"/>
      <c r="AI10" s="93"/>
    </row>
    <row r="11" spans="1:37" s="89" customFormat="1">
      <c r="A11" s="138">
        <v>3</v>
      </c>
      <c r="B11" s="146" t="s">
        <v>197</v>
      </c>
      <c r="C11" s="342">
        <v>41914</v>
      </c>
      <c r="D11" s="343">
        <v>40767</v>
      </c>
      <c r="E11" s="258">
        <v>16786</v>
      </c>
      <c r="F11" s="198">
        <f t="shared" si="0"/>
        <v>1.1580576972961637E-2</v>
      </c>
      <c r="G11" s="246">
        <v>12077</v>
      </c>
      <c r="H11" s="198">
        <f t="shared" si="1"/>
        <v>6.0907648532053556E-3</v>
      </c>
      <c r="I11" s="342">
        <f t="shared" si="3"/>
        <v>28863</v>
      </c>
      <c r="J11" s="344">
        <f t="shared" ref="J11:J58" si="5">ROUND((C11+D11+I11)/3,0)</f>
        <v>37181</v>
      </c>
      <c r="K11" s="200">
        <f t="shared" ref="K11:K58" si="6">J11/$J$59</f>
        <v>7.7505030499848138E-3</v>
      </c>
      <c r="L11" s="92">
        <f t="shared" ref="L11:L58" si="7">ROUND(K11*$G$5,0)</f>
        <v>6806</v>
      </c>
      <c r="M11" s="232">
        <f t="shared" ref="M11:M58" si="8">IF(L11&lt;($M$2*2), L11/2,$M$2)</f>
        <v>1500</v>
      </c>
      <c r="N11" s="232"/>
      <c r="O11" s="304">
        <f t="shared" ref="O11:O58" si="9">L11-M11-N11</f>
        <v>5306</v>
      </c>
      <c r="P11" s="134">
        <f t="shared" si="4"/>
        <v>1578</v>
      </c>
      <c r="Q11" s="94">
        <f t="shared" si="2"/>
        <v>-160</v>
      </c>
      <c r="R11" s="204">
        <f>(O11-W11)/W11</f>
        <v>-2.9271862422246615E-2</v>
      </c>
      <c r="S11" s="91"/>
      <c r="T11" s="222">
        <v>6466</v>
      </c>
      <c r="U11" s="232">
        <v>1000</v>
      </c>
      <c r="V11" s="232"/>
      <c r="W11" s="223">
        <v>5466</v>
      </c>
      <c r="X11" s="285">
        <v>1483</v>
      </c>
      <c r="Z11" s="199"/>
      <c r="AA11" s="326"/>
      <c r="AB11" s="93"/>
      <c r="AC11" s="93"/>
      <c r="AD11" s="327"/>
      <c r="AE11" s="94"/>
      <c r="AF11" s="327"/>
      <c r="AG11" s="327"/>
      <c r="AH11" s="326"/>
      <c r="AI11" s="93"/>
    </row>
    <row r="12" spans="1:37" s="89" customFormat="1">
      <c r="A12" s="138">
        <v>4</v>
      </c>
      <c r="B12" s="146" t="s">
        <v>165</v>
      </c>
      <c r="C12" s="342">
        <v>91146</v>
      </c>
      <c r="D12" s="343">
        <v>91508</v>
      </c>
      <c r="E12" s="258">
        <v>32658</v>
      </c>
      <c r="F12" s="198">
        <f t="shared" si="0"/>
        <v>2.2530589942987081E-2</v>
      </c>
      <c r="G12" s="246">
        <v>30599</v>
      </c>
      <c r="H12" s="198">
        <f t="shared" si="1"/>
        <v>1.5431921316819629E-2</v>
      </c>
      <c r="I12" s="342">
        <f t="shared" si="3"/>
        <v>63257</v>
      </c>
      <c r="J12" s="344">
        <f t="shared" si="5"/>
        <v>81970</v>
      </c>
      <c r="K12" s="200">
        <f t="shared" si="6"/>
        <v>1.7086918991077574E-2</v>
      </c>
      <c r="L12" s="92">
        <f t="shared" si="7"/>
        <v>15005</v>
      </c>
      <c r="M12" s="232">
        <f t="shared" si="8"/>
        <v>1500</v>
      </c>
      <c r="N12" s="232"/>
      <c r="O12" s="304">
        <f t="shared" si="9"/>
        <v>13505</v>
      </c>
      <c r="P12" s="134">
        <f t="shared" si="4"/>
        <v>3478</v>
      </c>
      <c r="Q12" s="94">
        <f t="shared" si="2"/>
        <v>-8</v>
      </c>
      <c r="R12" s="204">
        <f>(O12-W12)/W12</f>
        <v>-5.9202249685488047E-4</v>
      </c>
      <c r="S12" s="91"/>
      <c r="T12" s="222">
        <v>14513</v>
      </c>
      <c r="U12" s="232">
        <v>1000</v>
      </c>
      <c r="V12" s="232"/>
      <c r="W12" s="223">
        <v>13513</v>
      </c>
      <c r="X12" s="285">
        <v>3328</v>
      </c>
      <c r="Z12" s="199"/>
      <c r="AA12" s="326"/>
      <c r="AB12" s="93"/>
      <c r="AC12" s="93"/>
      <c r="AD12" s="327"/>
      <c r="AE12" s="94"/>
      <c r="AF12" s="327"/>
      <c r="AG12" s="327"/>
      <c r="AH12" s="326"/>
      <c r="AI12" s="93"/>
    </row>
    <row r="13" spans="1:37" s="89" customFormat="1">
      <c r="A13" s="138">
        <v>5</v>
      </c>
      <c r="B13" s="89" t="s">
        <v>198</v>
      </c>
      <c r="C13" s="342">
        <v>36662</v>
      </c>
      <c r="D13" s="343">
        <v>36403</v>
      </c>
      <c r="E13" s="258">
        <v>16166</v>
      </c>
      <c r="F13" s="198">
        <f t="shared" si="0"/>
        <v>1.1152842091320017E-2</v>
      </c>
      <c r="G13" s="246">
        <v>11669</v>
      </c>
      <c r="H13" s="198">
        <f t="shared" si="1"/>
        <v>5.8849991779459541E-3</v>
      </c>
      <c r="I13" s="342">
        <f t="shared" si="3"/>
        <v>27835</v>
      </c>
      <c r="J13" s="344">
        <f t="shared" si="5"/>
        <v>33633</v>
      </c>
      <c r="K13" s="200">
        <f t="shared" si="6"/>
        <v>7.0109106554460407E-3</v>
      </c>
      <c r="L13" s="92">
        <f t="shared" si="7"/>
        <v>6157</v>
      </c>
      <c r="M13" s="232">
        <f t="shared" si="8"/>
        <v>1500</v>
      </c>
      <c r="N13" s="232"/>
      <c r="O13" s="304">
        <f t="shared" si="9"/>
        <v>4657</v>
      </c>
      <c r="P13" s="134">
        <f t="shared" si="4"/>
        <v>1427</v>
      </c>
      <c r="Q13" s="94">
        <f t="shared" si="2"/>
        <v>-117</v>
      </c>
      <c r="R13" s="204">
        <f>(O13-W13)/W13</f>
        <v>-2.4507750314201927E-2</v>
      </c>
      <c r="S13" s="91"/>
      <c r="T13" s="222">
        <v>5774</v>
      </c>
      <c r="U13" s="232">
        <v>1000</v>
      </c>
      <c r="V13" s="232"/>
      <c r="W13" s="223">
        <v>4774</v>
      </c>
      <c r="X13" s="285">
        <v>1324</v>
      </c>
      <c r="Z13" s="199"/>
      <c r="AA13" s="326"/>
      <c r="AB13" s="93"/>
      <c r="AC13" s="93"/>
      <c r="AD13" s="327"/>
      <c r="AE13" s="94"/>
      <c r="AF13" s="327"/>
      <c r="AG13" s="327"/>
      <c r="AH13" s="326"/>
      <c r="AI13" s="93"/>
    </row>
    <row r="14" spans="1:37" s="89" customFormat="1">
      <c r="A14" s="138">
        <v>6</v>
      </c>
      <c r="B14" s="146" t="s">
        <v>199</v>
      </c>
      <c r="C14" s="342">
        <v>100084</v>
      </c>
      <c r="D14" s="343">
        <v>101171</v>
      </c>
      <c r="E14" s="258">
        <v>28734</v>
      </c>
      <c r="F14" s="198">
        <f t="shared" si="0"/>
        <v>1.9823442079177866E-2</v>
      </c>
      <c r="G14" s="246">
        <v>33671</v>
      </c>
      <c r="H14" s="198">
        <f t="shared" si="1"/>
        <v>1.6981215812890412E-2</v>
      </c>
      <c r="I14" s="342">
        <f t="shared" si="3"/>
        <v>62405</v>
      </c>
      <c r="J14" s="344">
        <f t="shared" si="5"/>
        <v>87887</v>
      </c>
      <c r="K14" s="200">
        <f t="shared" si="6"/>
        <v>1.8320337310831214E-2</v>
      </c>
      <c r="L14" s="92">
        <f t="shared" si="7"/>
        <v>16089</v>
      </c>
      <c r="M14" s="232">
        <f t="shared" si="8"/>
        <v>1500</v>
      </c>
      <c r="N14" s="232"/>
      <c r="O14" s="304">
        <f t="shared" si="9"/>
        <v>14589</v>
      </c>
      <c r="P14" s="134">
        <f t="shared" si="4"/>
        <v>3729</v>
      </c>
      <c r="Q14" s="94">
        <f t="shared" si="2"/>
        <v>-457</v>
      </c>
      <c r="R14" s="204">
        <f t="shared" ref="R14:R25" si="10">(O14-W14)/W14</f>
        <v>-3.0373521201648278E-2</v>
      </c>
      <c r="S14" s="91"/>
      <c r="T14" s="222">
        <v>16046</v>
      </c>
      <c r="U14" s="232">
        <v>1000</v>
      </c>
      <c r="V14" s="232"/>
      <c r="W14" s="223">
        <v>15046</v>
      </c>
      <c r="X14" s="285">
        <v>3680</v>
      </c>
      <c r="Z14" s="199"/>
      <c r="AA14" s="326"/>
      <c r="AB14" s="93"/>
      <c r="AC14" s="93"/>
      <c r="AD14" s="327"/>
      <c r="AE14" s="94"/>
      <c r="AF14" s="327"/>
      <c r="AG14" s="327"/>
      <c r="AH14" s="326"/>
      <c r="AI14" s="93"/>
    </row>
    <row r="15" spans="1:37" s="89" customFormat="1">
      <c r="A15" s="138">
        <v>7</v>
      </c>
      <c r="B15" s="146" t="s">
        <v>200</v>
      </c>
      <c r="C15" s="342">
        <v>91971</v>
      </c>
      <c r="D15" s="343">
        <v>94117</v>
      </c>
      <c r="E15" s="258">
        <v>24842</v>
      </c>
      <c r="F15" s="198">
        <f t="shared" si="0"/>
        <v>1.7138370854421124E-2</v>
      </c>
      <c r="G15" s="246">
        <v>37311</v>
      </c>
      <c r="H15" s="198">
        <f t="shared" si="1"/>
        <v>1.8816968405890949E-2</v>
      </c>
      <c r="I15" s="342">
        <f t="shared" si="3"/>
        <v>62153</v>
      </c>
      <c r="J15" s="344">
        <f t="shared" si="5"/>
        <v>82747</v>
      </c>
      <c r="K15" s="200">
        <f t="shared" si="6"/>
        <v>1.7248887224041672E-2</v>
      </c>
      <c r="L15" s="92">
        <f t="shared" si="7"/>
        <v>15148</v>
      </c>
      <c r="M15" s="232">
        <f t="shared" si="8"/>
        <v>1500</v>
      </c>
      <c r="N15" s="232"/>
      <c r="O15" s="304">
        <f t="shared" si="9"/>
        <v>13648</v>
      </c>
      <c r="P15" s="134">
        <f t="shared" si="4"/>
        <v>3511</v>
      </c>
      <c r="Q15" s="94">
        <f t="shared" si="2"/>
        <v>-279</v>
      </c>
      <c r="R15" s="204">
        <f t="shared" si="10"/>
        <v>-2.003302936741581E-2</v>
      </c>
      <c r="S15" s="91"/>
      <c r="T15" s="222">
        <v>14927</v>
      </c>
      <c r="U15" s="232">
        <v>1000</v>
      </c>
      <c r="V15" s="232"/>
      <c r="W15" s="223">
        <v>13927</v>
      </c>
      <c r="X15" s="285">
        <v>3423</v>
      </c>
      <c r="Z15" s="199"/>
      <c r="AA15" s="326"/>
      <c r="AB15" s="93"/>
      <c r="AC15" s="93"/>
      <c r="AD15" s="327"/>
      <c r="AE15" s="94"/>
      <c r="AF15" s="327"/>
      <c r="AG15" s="327"/>
      <c r="AH15" s="326"/>
      <c r="AI15" s="93"/>
    </row>
    <row r="16" spans="1:37" s="89" customFormat="1">
      <c r="A16" s="138">
        <v>8</v>
      </c>
      <c r="B16" s="89" t="s">
        <v>201</v>
      </c>
      <c r="C16" s="342">
        <v>40946</v>
      </c>
      <c r="D16" s="343">
        <v>39764</v>
      </c>
      <c r="E16" s="258">
        <v>12499</v>
      </c>
      <c r="F16" s="198">
        <f t="shared" si="0"/>
        <v>8.6229972349009584E-3</v>
      </c>
      <c r="G16" s="246">
        <v>14568</v>
      </c>
      <c r="H16" s="198">
        <f t="shared" si="1"/>
        <v>7.347044993085668E-3</v>
      </c>
      <c r="I16" s="342">
        <f t="shared" si="3"/>
        <v>27067</v>
      </c>
      <c r="J16" s="344">
        <f t="shared" si="5"/>
        <v>35926</v>
      </c>
      <c r="K16" s="200">
        <f t="shared" si="6"/>
        <v>7.4888941280157727E-3</v>
      </c>
      <c r="L16" s="92">
        <f t="shared" si="7"/>
        <v>6577</v>
      </c>
      <c r="M16" s="232">
        <f t="shared" si="8"/>
        <v>1500</v>
      </c>
      <c r="N16" s="232"/>
      <c r="O16" s="304">
        <f t="shared" si="9"/>
        <v>5077</v>
      </c>
      <c r="P16" s="134">
        <f t="shared" si="4"/>
        <v>1524</v>
      </c>
      <c r="Q16" s="94">
        <f t="shared" si="2"/>
        <v>-230</v>
      </c>
      <c r="R16" s="204">
        <f t="shared" si="10"/>
        <v>-4.3338986244582628E-2</v>
      </c>
      <c r="S16" s="91"/>
      <c r="T16" s="222">
        <v>6307</v>
      </c>
      <c r="U16" s="232">
        <v>1000</v>
      </c>
      <c r="V16" s="232"/>
      <c r="W16" s="223">
        <v>5307</v>
      </c>
      <c r="X16" s="285">
        <v>1446</v>
      </c>
      <c r="Z16" s="199"/>
      <c r="AA16" s="326"/>
      <c r="AB16" s="93"/>
      <c r="AC16" s="93"/>
      <c r="AD16" s="327"/>
      <c r="AE16" s="94"/>
      <c r="AF16" s="327"/>
      <c r="AG16" s="327"/>
      <c r="AH16" s="326"/>
      <c r="AI16" s="93"/>
    </row>
    <row r="17" spans="1:35" s="89" customFormat="1">
      <c r="A17" s="138">
        <v>9</v>
      </c>
      <c r="B17" s="146" t="s">
        <v>202</v>
      </c>
      <c r="C17" s="342">
        <v>33034</v>
      </c>
      <c r="D17" s="343">
        <v>31946</v>
      </c>
      <c r="E17" s="258">
        <v>18914</v>
      </c>
      <c r="F17" s="198">
        <f t="shared" si="0"/>
        <v>1.3048673469950934E-2</v>
      </c>
      <c r="G17" s="246">
        <v>9477</v>
      </c>
      <c r="H17" s="198">
        <f t="shared" si="1"/>
        <v>4.7795130010621139E-3</v>
      </c>
      <c r="I17" s="342">
        <f t="shared" si="3"/>
        <v>28391</v>
      </c>
      <c r="J17" s="344">
        <f t="shared" si="5"/>
        <v>31124</v>
      </c>
      <c r="K17" s="200">
        <f t="shared" si="6"/>
        <v>6.4879012648322359E-3</v>
      </c>
      <c r="L17" s="92">
        <f t="shared" si="7"/>
        <v>5698</v>
      </c>
      <c r="M17" s="232">
        <f t="shared" si="8"/>
        <v>1500</v>
      </c>
      <c r="N17" s="232"/>
      <c r="O17" s="304">
        <f t="shared" si="9"/>
        <v>4198</v>
      </c>
      <c r="P17" s="134">
        <f t="shared" si="4"/>
        <v>1321</v>
      </c>
      <c r="Q17" s="94">
        <f t="shared" si="2"/>
        <v>131</v>
      </c>
      <c r="R17" s="204">
        <f t="shared" si="10"/>
        <v>3.2210474551266292E-2</v>
      </c>
      <c r="S17" s="91"/>
      <c r="T17" s="222">
        <v>5067</v>
      </c>
      <c r="U17" s="232">
        <v>1000</v>
      </c>
      <c r="V17" s="232"/>
      <c r="W17" s="223">
        <v>4067</v>
      </c>
      <c r="X17" s="285">
        <v>1162</v>
      </c>
      <c r="Z17" s="199"/>
      <c r="AA17" s="326"/>
      <c r="AB17" s="93"/>
      <c r="AC17" s="93"/>
      <c r="AD17" s="327"/>
      <c r="AE17" s="94"/>
      <c r="AF17" s="327"/>
      <c r="AG17" s="327"/>
      <c r="AH17" s="326"/>
      <c r="AI17" s="93"/>
    </row>
    <row r="18" spans="1:35" s="89" customFormat="1">
      <c r="A18" s="138">
        <v>10</v>
      </c>
      <c r="B18" s="146" t="s">
        <v>203</v>
      </c>
      <c r="C18" s="342">
        <v>46965</v>
      </c>
      <c r="D18" s="343">
        <v>44059</v>
      </c>
      <c r="E18" s="258">
        <v>13898</v>
      </c>
      <c r="F18" s="198">
        <f t="shared" si="0"/>
        <v>9.5881602984761605E-3</v>
      </c>
      <c r="G18" s="246">
        <v>15526</v>
      </c>
      <c r="H18" s="198">
        <f t="shared" si="1"/>
        <v>7.830190867836909E-3</v>
      </c>
      <c r="I18" s="342">
        <f t="shared" si="3"/>
        <v>29424</v>
      </c>
      <c r="J18" s="344">
        <f t="shared" si="5"/>
        <v>40149</v>
      </c>
      <c r="K18" s="200">
        <f t="shared" si="6"/>
        <v>8.3691925164422771E-3</v>
      </c>
      <c r="L18" s="92">
        <f t="shared" si="7"/>
        <v>7350</v>
      </c>
      <c r="M18" s="232">
        <f t="shared" si="8"/>
        <v>1500</v>
      </c>
      <c r="N18" s="232"/>
      <c r="O18" s="304">
        <f t="shared" si="9"/>
        <v>5850</v>
      </c>
      <c r="P18" s="134">
        <f t="shared" si="4"/>
        <v>1704</v>
      </c>
      <c r="Q18" s="94">
        <f t="shared" si="2"/>
        <v>-138</v>
      </c>
      <c r="R18" s="204">
        <f t="shared" si="10"/>
        <v>-2.3046092184368736E-2</v>
      </c>
      <c r="S18" s="91"/>
      <c r="T18" s="222">
        <v>6988</v>
      </c>
      <c r="U18" s="232">
        <v>1000</v>
      </c>
      <c r="V18" s="232"/>
      <c r="W18" s="223">
        <v>5988</v>
      </c>
      <c r="X18" s="285">
        <v>1603</v>
      </c>
      <c r="Z18" s="199"/>
      <c r="AA18" s="326"/>
      <c r="AB18" s="93"/>
      <c r="AC18" s="93"/>
      <c r="AD18" s="327"/>
      <c r="AE18" s="94"/>
      <c r="AF18" s="327"/>
      <c r="AG18" s="327"/>
      <c r="AH18" s="326"/>
      <c r="AI18" s="93"/>
    </row>
    <row r="19" spans="1:35" s="89" customFormat="1" ht="12.75" customHeight="1">
      <c r="A19" s="138">
        <v>11</v>
      </c>
      <c r="B19" s="146" t="s">
        <v>204</v>
      </c>
      <c r="C19" s="342">
        <v>34183</v>
      </c>
      <c r="D19" s="343">
        <v>36041</v>
      </c>
      <c r="E19" s="258">
        <v>10177</v>
      </c>
      <c r="F19" s="198">
        <f t="shared" si="0"/>
        <v>7.0210611136560571E-3</v>
      </c>
      <c r="G19" s="246">
        <v>12963</v>
      </c>
      <c r="H19" s="198">
        <f t="shared" si="1"/>
        <v>6.5375991382049369E-3</v>
      </c>
      <c r="I19" s="342">
        <f t="shared" si="3"/>
        <v>23140</v>
      </c>
      <c r="J19" s="344">
        <f t="shared" si="5"/>
        <v>31121</v>
      </c>
      <c r="K19" s="200">
        <f t="shared" si="6"/>
        <v>6.4872759048594016E-3</v>
      </c>
      <c r="L19" s="92">
        <f t="shared" si="7"/>
        <v>5697</v>
      </c>
      <c r="M19" s="232">
        <f t="shared" si="8"/>
        <v>1500</v>
      </c>
      <c r="N19" s="232"/>
      <c r="O19" s="304">
        <f t="shared" si="9"/>
        <v>4197</v>
      </c>
      <c r="P19" s="134">
        <f t="shared" si="4"/>
        <v>1320</v>
      </c>
      <c r="Q19" s="94">
        <f t="shared" si="2"/>
        <v>-519</v>
      </c>
      <c r="R19" s="204">
        <f t="shared" si="10"/>
        <v>-0.11005089058524173</v>
      </c>
      <c r="S19" s="91"/>
      <c r="T19" s="222">
        <v>5716</v>
      </c>
      <c r="U19" s="232">
        <v>1000</v>
      </c>
      <c r="V19" s="232"/>
      <c r="W19" s="223">
        <v>4716</v>
      </c>
      <c r="X19" s="285">
        <v>1311</v>
      </c>
      <c r="Z19" s="199"/>
      <c r="AA19" s="326"/>
      <c r="AB19" s="93"/>
      <c r="AC19" s="93"/>
      <c r="AD19" s="327"/>
      <c r="AE19" s="94"/>
      <c r="AF19" s="327"/>
      <c r="AG19" s="327"/>
      <c r="AH19" s="326"/>
      <c r="AI19" s="93"/>
    </row>
    <row r="20" spans="1:35" s="89" customFormat="1" ht="12" customHeight="1">
      <c r="A20" s="138">
        <v>12</v>
      </c>
      <c r="B20" s="89" t="s">
        <v>205</v>
      </c>
      <c r="C20" s="342">
        <v>20017</v>
      </c>
      <c r="D20" s="343">
        <v>22389</v>
      </c>
      <c r="E20" s="258">
        <v>10783</v>
      </c>
      <c r="F20" s="198">
        <f t="shared" si="0"/>
        <v>7.4391374657122198E-3</v>
      </c>
      <c r="G20" s="246">
        <v>5636</v>
      </c>
      <c r="H20" s="198">
        <f t="shared" si="1"/>
        <v>2.8423905533381949E-3</v>
      </c>
      <c r="I20" s="342">
        <f t="shared" si="3"/>
        <v>16419</v>
      </c>
      <c r="J20" s="344">
        <f t="shared" si="5"/>
        <v>19608</v>
      </c>
      <c r="K20" s="200">
        <f t="shared" si="6"/>
        <v>4.0873527824453948E-3</v>
      </c>
      <c r="L20" s="92">
        <f t="shared" si="7"/>
        <v>3589</v>
      </c>
      <c r="M20" s="232">
        <f t="shared" si="8"/>
        <v>1500</v>
      </c>
      <c r="N20" s="232"/>
      <c r="O20" s="304">
        <f t="shared" si="9"/>
        <v>2089</v>
      </c>
      <c r="P20" s="134">
        <f t="shared" si="4"/>
        <v>832</v>
      </c>
      <c r="Q20" s="94">
        <f t="shared" si="2"/>
        <v>-462</v>
      </c>
      <c r="R20" s="204">
        <f t="shared" si="10"/>
        <v>-0.18110544884359076</v>
      </c>
      <c r="S20" s="91"/>
      <c r="T20" s="222">
        <v>3551</v>
      </c>
      <c r="U20" s="232">
        <v>1000</v>
      </c>
      <c r="V20" s="232"/>
      <c r="W20" s="223">
        <v>2551</v>
      </c>
      <c r="X20" s="285">
        <v>814</v>
      </c>
      <c r="Z20" s="199"/>
      <c r="AA20" s="326"/>
      <c r="AB20" s="93"/>
      <c r="AC20" s="93"/>
      <c r="AD20" s="327"/>
      <c r="AE20" s="94"/>
      <c r="AF20" s="327"/>
      <c r="AG20" s="327"/>
      <c r="AH20" s="326"/>
      <c r="AI20" s="93"/>
    </row>
    <row r="21" spans="1:35" s="89" customFormat="1">
      <c r="A21" s="138">
        <v>13</v>
      </c>
      <c r="B21" s="146" t="s">
        <v>206</v>
      </c>
      <c r="C21" s="342">
        <v>56063</v>
      </c>
      <c r="D21" s="343">
        <v>52104</v>
      </c>
      <c r="E21" s="258">
        <v>17147</v>
      </c>
      <c r="F21" s="198">
        <f t="shared" si="0"/>
        <v>1.182962905727232E-2</v>
      </c>
      <c r="G21" s="246">
        <v>18850</v>
      </c>
      <c r="H21" s="198">
        <f t="shared" si="1"/>
        <v>9.5065759280384982E-3</v>
      </c>
      <c r="I21" s="342">
        <f t="shared" si="3"/>
        <v>35997</v>
      </c>
      <c r="J21" s="344">
        <f t="shared" si="5"/>
        <v>48055</v>
      </c>
      <c r="K21" s="200">
        <f t="shared" si="6"/>
        <v>1.0017224498185101E-2</v>
      </c>
      <c r="L21" s="92">
        <f t="shared" si="7"/>
        <v>8797</v>
      </c>
      <c r="M21" s="232">
        <f t="shared" si="8"/>
        <v>1500</v>
      </c>
      <c r="N21" s="232"/>
      <c r="O21" s="304">
        <f t="shared" si="9"/>
        <v>7297</v>
      </c>
      <c r="P21" s="134">
        <f t="shared" si="4"/>
        <v>2039</v>
      </c>
      <c r="Q21" s="94">
        <f t="shared" si="2"/>
        <v>33</v>
      </c>
      <c r="R21" s="204">
        <f t="shared" si="10"/>
        <v>4.54295154185022E-3</v>
      </c>
      <c r="S21" s="91"/>
      <c r="T21" s="222">
        <v>8264</v>
      </c>
      <c r="U21" s="232">
        <v>1000</v>
      </c>
      <c r="V21" s="232"/>
      <c r="W21" s="223">
        <v>7264</v>
      </c>
      <c r="X21" s="285">
        <v>1895</v>
      </c>
      <c r="Z21" s="199"/>
      <c r="AA21" s="326"/>
      <c r="AB21" s="93"/>
      <c r="AC21" s="93"/>
      <c r="AD21" s="327"/>
      <c r="AE21" s="94"/>
      <c r="AF21" s="327"/>
      <c r="AG21" s="327"/>
      <c r="AH21" s="326"/>
      <c r="AI21" s="93"/>
    </row>
    <row r="22" spans="1:35" s="89" customFormat="1">
      <c r="A22" s="138">
        <v>14</v>
      </c>
      <c r="B22" s="89" t="s">
        <v>207</v>
      </c>
      <c r="C22" s="342">
        <v>368441</v>
      </c>
      <c r="D22" s="343">
        <v>344906</v>
      </c>
      <c r="E22" s="258">
        <v>105518</v>
      </c>
      <c r="F22" s="198">
        <f t="shared" si="0"/>
        <v>7.2796337485581189E-2</v>
      </c>
      <c r="G22" s="246">
        <v>114669</v>
      </c>
      <c r="H22" s="198">
        <f t="shared" si="1"/>
        <v>5.783074562823589E-2</v>
      </c>
      <c r="I22" s="342">
        <f t="shared" si="3"/>
        <v>220187</v>
      </c>
      <c r="J22" s="344">
        <f t="shared" si="5"/>
        <v>311178</v>
      </c>
      <c r="K22" s="200">
        <f t="shared" si="6"/>
        <v>6.4866088542217107E-2</v>
      </c>
      <c r="L22" s="92">
        <f t="shared" si="7"/>
        <v>56964</v>
      </c>
      <c r="M22" s="232">
        <f t="shared" si="8"/>
        <v>1500</v>
      </c>
      <c r="N22" s="299">
        <f>K67*M3</f>
        <v>4195.7781716466961</v>
      </c>
      <c r="O22" s="304">
        <f t="shared" si="9"/>
        <v>51268.2218283533</v>
      </c>
      <c r="P22" s="134">
        <f t="shared" si="4"/>
        <v>13203</v>
      </c>
      <c r="Q22" s="94">
        <f t="shared" si="2"/>
        <v>1628.637818777519</v>
      </c>
      <c r="R22" s="204">
        <f t="shared" si="10"/>
        <v>3.2809255985371363E-2</v>
      </c>
      <c r="S22" s="91"/>
      <c r="T22" s="222">
        <v>54703</v>
      </c>
      <c r="U22" s="232">
        <v>1000</v>
      </c>
      <c r="V22" s="232">
        <v>4063.4159904242183</v>
      </c>
      <c r="W22" s="223">
        <v>49639.584009575781</v>
      </c>
      <c r="X22" s="285">
        <v>12546</v>
      </c>
      <c r="Z22" s="199"/>
      <c r="AA22" s="326"/>
      <c r="AB22" s="93"/>
      <c r="AC22" s="93"/>
      <c r="AD22" s="327"/>
      <c r="AE22" s="94"/>
      <c r="AF22" s="327"/>
      <c r="AG22" s="327"/>
      <c r="AH22" s="326"/>
      <c r="AI22" s="93"/>
    </row>
    <row r="23" spans="1:35" s="89" customFormat="1">
      <c r="A23" s="138">
        <v>15</v>
      </c>
      <c r="B23" s="89" t="s">
        <v>208</v>
      </c>
      <c r="C23" s="342">
        <v>50490</v>
      </c>
      <c r="D23" s="343">
        <v>48741</v>
      </c>
      <c r="E23" s="258">
        <v>20618</v>
      </c>
      <c r="F23" s="198">
        <f t="shared" si="0"/>
        <v>1.4224254499494996E-2</v>
      </c>
      <c r="G23" s="246">
        <v>13377</v>
      </c>
      <c r="H23" s="198">
        <f t="shared" si="1"/>
        <v>6.746390779276976E-3</v>
      </c>
      <c r="I23" s="342">
        <f t="shared" si="3"/>
        <v>33995</v>
      </c>
      <c r="J23" s="344">
        <f t="shared" si="5"/>
        <v>44409</v>
      </c>
      <c r="K23" s="200">
        <f t="shared" si="6"/>
        <v>9.2572036778670718E-3</v>
      </c>
      <c r="L23" s="92">
        <f t="shared" si="7"/>
        <v>8130</v>
      </c>
      <c r="M23" s="232">
        <f t="shared" si="8"/>
        <v>1500</v>
      </c>
      <c r="N23" s="232"/>
      <c r="O23" s="304">
        <f t="shared" si="9"/>
        <v>6630</v>
      </c>
      <c r="P23" s="134">
        <f t="shared" si="4"/>
        <v>1884</v>
      </c>
      <c r="Q23" s="94">
        <f t="shared" si="2"/>
        <v>-100</v>
      </c>
      <c r="R23" s="204">
        <f t="shared" si="10"/>
        <v>-1.4858841010401188E-2</v>
      </c>
      <c r="S23" s="91"/>
      <c r="T23" s="222">
        <v>7730</v>
      </c>
      <c r="U23" s="232">
        <v>1000</v>
      </c>
      <c r="V23" s="232"/>
      <c r="W23" s="223">
        <v>6730</v>
      </c>
      <c r="X23" s="285">
        <v>1773</v>
      </c>
      <c r="Z23" s="199"/>
      <c r="AA23" s="326"/>
      <c r="AB23" s="93"/>
      <c r="AC23" s="93"/>
      <c r="AD23" s="327"/>
      <c r="AE23" s="94"/>
      <c r="AF23" s="327"/>
      <c r="AG23" s="327"/>
      <c r="AH23" s="326"/>
      <c r="AI23" s="93"/>
    </row>
    <row r="24" spans="1:35" s="89" customFormat="1">
      <c r="A24" s="138">
        <v>16</v>
      </c>
      <c r="B24" s="89" t="s">
        <v>209</v>
      </c>
      <c r="C24" s="342">
        <v>39505</v>
      </c>
      <c r="D24" s="343">
        <v>43341</v>
      </c>
      <c r="E24" s="258">
        <v>11662</v>
      </c>
      <c r="F24" s="198">
        <f t="shared" si="0"/>
        <v>8.045555144684774E-3</v>
      </c>
      <c r="G24" s="246">
        <v>28552</v>
      </c>
      <c r="H24" s="198">
        <f t="shared" si="1"/>
        <v>1.4399562647074546E-2</v>
      </c>
      <c r="I24" s="342">
        <f t="shared" si="3"/>
        <v>40214</v>
      </c>
      <c r="J24" s="344">
        <f t="shared" si="5"/>
        <v>41020</v>
      </c>
      <c r="K24" s="200">
        <f t="shared" si="6"/>
        <v>8.550755361888521E-3</v>
      </c>
      <c r="L24" s="92">
        <f t="shared" si="7"/>
        <v>7509</v>
      </c>
      <c r="M24" s="232">
        <f t="shared" si="8"/>
        <v>1500</v>
      </c>
      <c r="N24" s="232"/>
      <c r="O24" s="304">
        <f t="shared" si="9"/>
        <v>6009</v>
      </c>
      <c r="P24" s="134">
        <f t="shared" si="4"/>
        <v>1740</v>
      </c>
      <c r="Q24" s="94">
        <f t="shared" si="2"/>
        <v>135</v>
      </c>
      <c r="R24" s="204">
        <f t="shared" si="10"/>
        <v>2.2982635342185902E-2</v>
      </c>
      <c r="S24" s="91"/>
      <c r="T24" s="222">
        <v>6874</v>
      </c>
      <c r="U24" s="232">
        <v>1000</v>
      </c>
      <c r="V24" s="232"/>
      <c r="W24" s="223">
        <v>5874</v>
      </c>
      <c r="X24" s="285">
        <v>1576</v>
      </c>
      <c r="Z24" s="199"/>
      <c r="AA24" s="326"/>
      <c r="AB24" s="93"/>
      <c r="AC24" s="93"/>
      <c r="AD24" s="327"/>
      <c r="AE24" s="94"/>
      <c r="AF24" s="327"/>
      <c r="AG24" s="327"/>
      <c r="AH24" s="326"/>
      <c r="AI24" s="93"/>
    </row>
    <row r="25" spans="1:35" s="89" customFormat="1">
      <c r="A25" s="138">
        <v>17</v>
      </c>
      <c r="B25" s="146" t="s">
        <v>210</v>
      </c>
      <c r="C25" s="342">
        <v>93741</v>
      </c>
      <c r="D25" s="343">
        <v>96947</v>
      </c>
      <c r="E25" s="258">
        <v>32626</v>
      </c>
      <c r="F25" s="198">
        <f t="shared" si="0"/>
        <v>2.2508513303934607E-2</v>
      </c>
      <c r="G25" s="246">
        <v>36744</v>
      </c>
      <c r="H25" s="198">
        <f t="shared" si="1"/>
        <v>1.8531014636596635E-2</v>
      </c>
      <c r="I25" s="342">
        <f t="shared" si="3"/>
        <v>69370</v>
      </c>
      <c r="J25" s="344">
        <f t="shared" si="5"/>
        <v>86686</v>
      </c>
      <c r="K25" s="200">
        <f t="shared" si="6"/>
        <v>1.806998486837319E-2</v>
      </c>
      <c r="L25" s="92">
        <f t="shared" si="7"/>
        <v>15869</v>
      </c>
      <c r="M25" s="232">
        <f t="shared" si="8"/>
        <v>1500</v>
      </c>
      <c r="N25" s="232"/>
      <c r="O25" s="304">
        <f t="shared" si="9"/>
        <v>14369</v>
      </c>
      <c r="P25" s="134">
        <f t="shared" si="4"/>
        <v>3678</v>
      </c>
      <c r="Q25" s="94">
        <f t="shared" si="2"/>
        <v>-7</v>
      </c>
      <c r="R25" s="204">
        <f t="shared" si="10"/>
        <v>-4.8692264885920978E-4</v>
      </c>
      <c r="S25" s="91"/>
      <c r="T25" s="222">
        <v>15376</v>
      </c>
      <c r="U25" s="232">
        <v>1000</v>
      </c>
      <c r="V25" s="232"/>
      <c r="W25" s="223">
        <v>14376</v>
      </c>
      <c r="X25" s="285">
        <v>3526</v>
      </c>
      <c r="Z25" s="199"/>
      <c r="AA25" s="326"/>
      <c r="AB25" s="93"/>
      <c r="AC25" s="93"/>
      <c r="AD25" s="327"/>
      <c r="AE25" s="94"/>
      <c r="AF25" s="327"/>
      <c r="AG25" s="327"/>
      <c r="AH25" s="326"/>
      <c r="AI25" s="93"/>
    </row>
    <row r="26" spans="1:35" s="89" customFormat="1">
      <c r="A26" s="138">
        <v>18</v>
      </c>
      <c r="B26" s="89" t="s">
        <v>211</v>
      </c>
      <c r="C26" s="342">
        <v>22446</v>
      </c>
      <c r="D26" s="343">
        <v>19967</v>
      </c>
      <c r="E26" s="258">
        <v>9424</v>
      </c>
      <c r="F26" s="198">
        <f t="shared" si="0"/>
        <v>6.5015702009526069E-3</v>
      </c>
      <c r="G26" s="246">
        <v>6127</v>
      </c>
      <c r="H26" s="198">
        <f t="shared" si="1"/>
        <v>3.0900154223390919E-3</v>
      </c>
      <c r="I26" s="342">
        <f t="shared" si="3"/>
        <v>15551</v>
      </c>
      <c r="J26" s="344">
        <f t="shared" si="5"/>
        <v>19321</v>
      </c>
      <c r="K26" s="200">
        <f t="shared" si="6"/>
        <v>4.0275266783775746E-3</v>
      </c>
      <c r="L26" s="92">
        <f t="shared" si="7"/>
        <v>3537</v>
      </c>
      <c r="M26" s="232">
        <f t="shared" si="8"/>
        <v>1500</v>
      </c>
      <c r="N26" s="232"/>
      <c r="O26" s="304">
        <f t="shared" si="9"/>
        <v>2037</v>
      </c>
      <c r="P26" s="134">
        <f t="shared" si="4"/>
        <v>820</v>
      </c>
      <c r="Q26" s="94">
        <f t="shared" si="2"/>
        <v>-130</v>
      </c>
      <c r="R26" s="204">
        <f t="shared" ref="R26:R37" si="11">(O26-W26)/W26</f>
        <v>-5.9990770650669129E-2</v>
      </c>
      <c r="S26" s="91"/>
      <c r="T26" s="222">
        <v>3167</v>
      </c>
      <c r="U26" s="232">
        <v>1000</v>
      </c>
      <c r="V26" s="232"/>
      <c r="W26" s="223">
        <v>2167</v>
      </c>
      <c r="X26" s="285">
        <v>726</v>
      </c>
      <c r="Z26" s="199"/>
      <c r="AA26" s="326"/>
      <c r="AB26" s="93"/>
      <c r="AC26" s="93"/>
      <c r="AD26" s="327"/>
      <c r="AE26" s="94"/>
      <c r="AF26" s="327"/>
      <c r="AG26" s="327"/>
      <c r="AH26" s="326"/>
      <c r="AI26" s="93"/>
    </row>
    <row r="27" spans="1:35" s="89" customFormat="1">
      <c r="A27" s="138">
        <v>19</v>
      </c>
      <c r="B27" s="89" t="s">
        <v>212</v>
      </c>
      <c r="C27" s="342">
        <v>28485</v>
      </c>
      <c r="D27" s="343">
        <v>28148</v>
      </c>
      <c r="E27" s="258">
        <v>10353</v>
      </c>
      <c r="F27" s="198">
        <f t="shared" si="0"/>
        <v>7.1424826284446456E-3</v>
      </c>
      <c r="G27" s="246">
        <v>7466</v>
      </c>
      <c r="H27" s="198">
        <f t="shared" si="1"/>
        <v>3.7653101261928609E-3</v>
      </c>
      <c r="I27" s="342">
        <f t="shared" si="3"/>
        <v>17819</v>
      </c>
      <c r="J27" s="344">
        <f t="shared" si="5"/>
        <v>24817</v>
      </c>
      <c r="K27" s="200">
        <f t="shared" si="6"/>
        <v>5.1731861486101274E-3</v>
      </c>
      <c r="L27" s="92">
        <f t="shared" si="7"/>
        <v>4543</v>
      </c>
      <c r="M27" s="232">
        <f t="shared" si="8"/>
        <v>1500</v>
      </c>
      <c r="N27" s="232"/>
      <c r="O27" s="304">
        <f t="shared" si="9"/>
        <v>3043</v>
      </c>
      <c r="P27" s="134">
        <f t="shared" si="4"/>
        <v>1053</v>
      </c>
      <c r="Q27" s="94">
        <f t="shared" si="2"/>
        <v>-421</v>
      </c>
      <c r="R27" s="204">
        <f t="shared" si="11"/>
        <v>-0.12153579676674364</v>
      </c>
      <c r="S27" s="91"/>
      <c r="T27" s="222">
        <v>4464</v>
      </c>
      <c r="U27" s="232">
        <v>1000</v>
      </c>
      <c r="V27" s="232"/>
      <c r="W27" s="223">
        <v>3464</v>
      </c>
      <c r="X27" s="285">
        <v>1024</v>
      </c>
      <c r="Z27" s="199"/>
      <c r="AA27" s="326"/>
      <c r="AB27" s="93"/>
      <c r="AC27" s="93"/>
      <c r="AD27" s="327"/>
      <c r="AE27" s="94"/>
      <c r="AF27" s="327"/>
      <c r="AG27" s="327"/>
      <c r="AH27" s="326"/>
      <c r="AI27" s="93"/>
    </row>
    <row r="28" spans="1:35" s="89" customFormat="1" ht="12" customHeight="1">
      <c r="A28" s="138">
        <v>20</v>
      </c>
      <c r="B28" s="89" t="s">
        <v>168</v>
      </c>
      <c r="C28" s="342">
        <v>1052366</v>
      </c>
      <c r="D28" s="343">
        <v>985034</v>
      </c>
      <c r="E28" s="258">
        <v>163889</v>
      </c>
      <c r="F28" s="198">
        <f t="shared" si="0"/>
        <v>0.11306619680219883</v>
      </c>
      <c r="G28" s="246">
        <v>358585</v>
      </c>
      <c r="H28" s="198">
        <f t="shared" si="1"/>
        <v>0.18084432515414775</v>
      </c>
      <c r="I28" s="342">
        <f t="shared" si="3"/>
        <v>522474</v>
      </c>
      <c r="J28" s="344">
        <f t="shared" si="5"/>
        <v>853291</v>
      </c>
      <c r="K28" s="200">
        <f t="shared" si="6"/>
        <v>0.17787134552660208</v>
      </c>
      <c r="L28" s="92">
        <f t="shared" si="7"/>
        <v>156204</v>
      </c>
      <c r="M28" s="232">
        <f t="shared" si="8"/>
        <v>1500</v>
      </c>
      <c r="N28" s="299">
        <f>K66*M3</f>
        <v>11505.375546672905</v>
      </c>
      <c r="O28" s="304">
        <f t="shared" si="9"/>
        <v>143198.62445332709</v>
      </c>
      <c r="P28" s="134">
        <f t="shared" si="4"/>
        <v>36205</v>
      </c>
      <c r="Q28" s="94">
        <f t="shared" si="2"/>
        <v>-426.46607362362556</v>
      </c>
      <c r="R28" s="204">
        <f t="shared" si="11"/>
        <v>-2.9693006427982077E-3</v>
      </c>
      <c r="S28" s="91"/>
      <c r="T28" s="222">
        <v>156230</v>
      </c>
      <c r="U28" s="232">
        <v>1000</v>
      </c>
      <c r="V28" s="232">
        <v>11604.909473049265</v>
      </c>
      <c r="W28" s="223">
        <v>143625.09052695072</v>
      </c>
      <c r="X28" s="285">
        <v>35829</v>
      </c>
      <c r="Z28" s="199"/>
      <c r="AA28" s="326"/>
      <c r="AB28" s="93"/>
      <c r="AC28" s="93"/>
      <c r="AD28" s="327"/>
      <c r="AE28" s="94"/>
      <c r="AF28" s="327"/>
      <c r="AG28" s="327"/>
      <c r="AH28" s="326"/>
      <c r="AI28" s="93"/>
    </row>
    <row r="29" spans="1:35" s="89" customFormat="1">
      <c r="A29" s="138">
        <v>21</v>
      </c>
      <c r="B29" s="89" t="s">
        <v>213</v>
      </c>
      <c r="C29" s="342">
        <v>99200</v>
      </c>
      <c r="D29" s="343">
        <v>89922</v>
      </c>
      <c r="E29" s="258">
        <v>25611</v>
      </c>
      <c r="F29" s="198">
        <f t="shared" si="0"/>
        <v>1.7668900086650809E-2</v>
      </c>
      <c r="G29" s="246">
        <v>30947</v>
      </c>
      <c r="H29" s="198">
        <f t="shared" si="1"/>
        <v>1.5607427333952647E-2</v>
      </c>
      <c r="I29" s="342">
        <f t="shared" si="3"/>
        <v>56558</v>
      </c>
      <c r="J29" s="344">
        <f t="shared" si="5"/>
        <v>81893</v>
      </c>
      <c r="K29" s="200">
        <f t="shared" si="6"/>
        <v>1.7070868085108156E-2</v>
      </c>
      <c r="L29" s="92">
        <f t="shared" si="7"/>
        <v>14991</v>
      </c>
      <c r="M29" s="232">
        <f t="shared" si="8"/>
        <v>1500</v>
      </c>
      <c r="N29" s="232"/>
      <c r="O29" s="304">
        <f t="shared" si="9"/>
        <v>13491</v>
      </c>
      <c r="P29" s="134">
        <f t="shared" si="4"/>
        <v>3475</v>
      </c>
      <c r="Q29" s="94">
        <f t="shared" si="2"/>
        <v>229</v>
      </c>
      <c r="R29" s="204">
        <f t="shared" si="11"/>
        <v>1.726738048559795E-2</v>
      </c>
      <c r="S29" s="91"/>
      <c r="T29" s="222">
        <v>14262</v>
      </c>
      <c r="U29" s="232">
        <v>1000</v>
      </c>
      <c r="V29" s="232"/>
      <c r="W29" s="223">
        <v>13262</v>
      </c>
      <c r="X29" s="285">
        <v>3271</v>
      </c>
      <c r="Z29" s="199"/>
      <c r="AA29" s="326"/>
      <c r="AB29" s="93"/>
      <c r="AC29" s="93"/>
      <c r="AD29" s="327"/>
      <c r="AE29" s="94"/>
      <c r="AF29" s="327"/>
      <c r="AG29" s="327"/>
      <c r="AH29" s="326"/>
      <c r="AI29" s="93"/>
    </row>
    <row r="30" spans="1:35" s="89" customFormat="1">
      <c r="A30" s="138">
        <v>22</v>
      </c>
      <c r="B30" s="89" t="s">
        <v>214</v>
      </c>
      <c r="C30" s="342">
        <v>23496</v>
      </c>
      <c r="D30" s="343">
        <v>21435</v>
      </c>
      <c r="E30" s="258">
        <v>7142</v>
      </c>
      <c r="F30" s="198">
        <f t="shared" si="0"/>
        <v>4.927229878523294E-3</v>
      </c>
      <c r="G30" s="246">
        <v>8803</v>
      </c>
      <c r="H30" s="198">
        <f t="shared" si="1"/>
        <v>4.4395961747757508E-3</v>
      </c>
      <c r="I30" s="342">
        <f t="shared" si="3"/>
        <v>15945</v>
      </c>
      <c r="J30" s="344">
        <f t="shared" si="5"/>
        <v>20292</v>
      </c>
      <c r="K30" s="200">
        <f t="shared" si="6"/>
        <v>4.2299348562516298E-3</v>
      </c>
      <c r="L30" s="92">
        <f t="shared" si="7"/>
        <v>3715</v>
      </c>
      <c r="M30" s="232">
        <f t="shared" si="8"/>
        <v>1500</v>
      </c>
      <c r="N30" s="232"/>
      <c r="O30" s="304">
        <f t="shared" si="9"/>
        <v>2215</v>
      </c>
      <c r="P30" s="134">
        <f t="shared" si="4"/>
        <v>861</v>
      </c>
      <c r="Q30" s="94">
        <f t="shared" si="2"/>
        <v>-185</v>
      </c>
      <c r="R30" s="204">
        <f t="shared" si="11"/>
        <v>-7.7083333333333337E-2</v>
      </c>
      <c r="S30" s="91"/>
      <c r="T30" s="222">
        <v>3400</v>
      </c>
      <c r="U30" s="232">
        <v>1000</v>
      </c>
      <c r="V30" s="232"/>
      <c r="W30" s="223">
        <v>2400</v>
      </c>
      <c r="X30" s="285">
        <v>780</v>
      </c>
      <c r="Z30" s="199"/>
      <c r="AA30" s="326"/>
      <c r="AB30" s="93"/>
      <c r="AC30" s="93"/>
      <c r="AD30" s="327"/>
      <c r="AE30" s="94"/>
      <c r="AF30" s="327"/>
      <c r="AG30" s="327"/>
      <c r="AH30" s="326"/>
      <c r="AI30" s="93"/>
    </row>
    <row r="31" spans="1:35" s="89" customFormat="1">
      <c r="A31" s="138">
        <v>23</v>
      </c>
      <c r="B31" s="89" t="s">
        <v>215</v>
      </c>
      <c r="C31" s="342">
        <v>44152</v>
      </c>
      <c r="D31" s="343">
        <v>45459</v>
      </c>
      <c r="E31" s="258">
        <v>14500</v>
      </c>
      <c r="F31" s="198">
        <f t="shared" si="0"/>
        <v>1.0003477070650765E-2</v>
      </c>
      <c r="G31" s="246">
        <v>14969</v>
      </c>
      <c r="H31" s="198">
        <f t="shared" si="1"/>
        <v>7.5492803748969913E-3</v>
      </c>
      <c r="I31" s="342">
        <f t="shared" si="3"/>
        <v>29469</v>
      </c>
      <c r="J31" s="344">
        <f t="shared" si="5"/>
        <v>39693</v>
      </c>
      <c r="K31" s="200">
        <f t="shared" si="6"/>
        <v>8.2741378005714537E-3</v>
      </c>
      <c r="L31" s="92">
        <f t="shared" si="7"/>
        <v>7266</v>
      </c>
      <c r="M31" s="232">
        <f t="shared" si="8"/>
        <v>1500</v>
      </c>
      <c r="N31" s="232"/>
      <c r="O31" s="304">
        <f t="shared" si="9"/>
        <v>5766</v>
      </c>
      <c r="P31" s="134">
        <f t="shared" si="4"/>
        <v>1684</v>
      </c>
      <c r="Q31" s="94">
        <f t="shared" si="2"/>
        <v>-444</v>
      </c>
      <c r="R31" s="204">
        <f t="shared" si="11"/>
        <v>-7.1497584541062809E-2</v>
      </c>
      <c r="S31" s="91"/>
      <c r="T31" s="222">
        <v>7210</v>
      </c>
      <c r="U31" s="232">
        <v>1000</v>
      </c>
      <c r="V31" s="232"/>
      <c r="W31" s="223">
        <v>6210</v>
      </c>
      <c r="X31" s="285">
        <v>1654</v>
      </c>
      <c r="Z31" s="199"/>
      <c r="AA31" s="326"/>
      <c r="AB31" s="93"/>
      <c r="AC31" s="93"/>
      <c r="AD31" s="327"/>
      <c r="AE31" s="94"/>
      <c r="AF31" s="327"/>
      <c r="AG31" s="327"/>
      <c r="AH31" s="326"/>
      <c r="AI31" s="93"/>
    </row>
    <row r="32" spans="1:35" s="89" customFormat="1">
      <c r="A32" s="138">
        <v>24</v>
      </c>
      <c r="B32" s="146" t="s">
        <v>360</v>
      </c>
      <c r="C32" s="342">
        <v>14730</v>
      </c>
      <c r="D32" s="343">
        <v>14730</v>
      </c>
      <c r="E32" s="258">
        <v>11669</v>
      </c>
      <c r="F32" s="198">
        <f t="shared" si="0"/>
        <v>8.0503844094775012E-3</v>
      </c>
      <c r="G32" s="246">
        <v>3061</v>
      </c>
      <c r="H32" s="198">
        <f t="shared" si="1"/>
        <v>1.5437468920809466E-3</v>
      </c>
      <c r="I32" s="342">
        <f t="shared" si="3"/>
        <v>14730</v>
      </c>
      <c r="J32" s="344">
        <f t="shared" si="5"/>
        <v>14730</v>
      </c>
      <c r="K32" s="200">
        <f t="shared" si="6"/>
        <v>3.0705174666167214E-3</v>
      </c>
      <c r="L32" s="92">
        <f t="shared" si="7"/>
        <v>2696</v>
      </c>
      <c r="M32" s="232">
        <f t="shared" si="8"/>
        <v>1348</v>
      </c>
      <c r="N32" s="232"/>
      <c r="O32" s="304">
        <f t="shared" si="9"/>
        <v>1348</v>
      </c>
      <c r="P32" s="134">
        <f t="shared" si="4"/>
        <v>625</v>
      </c>
      <c r="Q32" s="324" t="s">
        <v>359</v>
      </c>
      <c r="R32" s="325" t="s">
        <v>359</v>
      </c>
      <c r="S32" s="91"/>
      <c r="T32" s="222">
        <v>0</v>
      </c>
      <c r="U32" s="232">
        <v>0</v>
      </c>
      <c r="V32" s="232"/>
      <c r="W32" s="223">
        <v>0</v>
      </c>
      <c r="X32" s="285">
        <v>0</v>
      </c>
      <c r="Z32" s="199"/>
      <c r="AA32" s="326"/>
      <c r="AB32" s="93"/>
      <c r="AC32" s="93"/>
      <c r="AD32" s="327"/>
      <c r="AE32" s="94"/>
      <c r="AF32" s="327"/>
      <c r="AG32" s="327"/>
      <c r="AH32" s="326"/>
      <c r="AI32" s="93"/>
    </row>
    <row r="33" spans="1:35" s="89" customFormat="1">
      <c r="A33" s="138">
        <v>25</v>
      </c>
      <c r="B33" s="89" t="s">
        <v>216</v>
      </c>
      <c r="C33" s="342">
        <v>63012</v>
      </c>
      <c r="D33" s="343">
        <v>58610</v>
      </c>
      <c r="E33" s="258">
        <v>19452</v>
      </c>
      <c r="F33" s="198">
        <f t="shared" si="0"/>
        <v>1.3419836964020597E-2</v>
      </c>
      <c r="G33" s="246">
        <v>18327</v>
      </c>
      <c r="H33" s="198">
        <f t="shared" si="1"/>
        <v>9.2428125747035308E-3</v>
      </c>
      <c r="I33" s="342">
        <f t="shared" si="3"/>
        <v>37779</v>
      </c>
      <c r="J33" s="344">
        <f t="shared" si="5"/>
        <v>53134</v>
      </c>
      <c r="K33" s="200">
        <f t="shared" si="6"/>
        <v>1.1075958932193677E-2</v>
      </c>
      <c r="L33" s="92">
        <f t="shared" si="7"/>
        <v>9727</v>
      </c>
      <c r="M33" s="232">
        <f t="shared" si="8"/>
        <v>1500</v>
      </c>
      <c r="N33" s="232"/>
      <c r="O33" s="304">
        <f t="shared" si="9"/>
        <v>8227</v>
      </c>
      <c r="P33" s="134">
        <f t="shared" si="4"/>
        <v>2254</v>
      </c>
      <c r="Q33" s="94">
        <f t="shared" si="2"/>
        <v>-69</v>
      </c>
      <c r="R33" s="204">
        <f t="shared" si="11"/>
        <v>-8.3172613307618132E-3</v>
      </c>
      <c r="S33" s="91"/>
      <c r="T33" s="222">
        <v>9296</v>
      </c>
      <c r="U33" s="232">
        <v>1000</v>
      </c>
      <c r="V33" s="232"/>
      <c r="W33" s="223">
        <v>8296</v>
      </c>
      <c r="X33" s="285">
        <v>2132</v>
      </c>
      <c r="Z33" s="199"/>
      <c r="AA33" s="326"/>
      <c r="AB33" s="93"/>
      <c r="AC33" s="93"/>
      <c r="AD33" s="327"/>
      <c r="AE33" s="94"/>
      <c r="AF33" s="327"/>
      <c r="AG33" s="327"/>
      <c r="AH33" s="326"/>
      <c r="AI33" s="93"/>
    </row>
    <row r="34" spans="1:35" s="89" customFormat="1">
      <c r="A34" s="138">
        <v>26</v>
      </c>
      <c r="B34" s="89" t="s">
        <v>171</v>
      </c>
      <c r="C34" s="342">
        <v>29676</v>
      </c>
      <c r="D34" s="343">
        <v>28283</v>
      </c>
      <c r="E34" s="258">
        <v>8143</v>
      </c>
      <c r="F34" s="198">
        <f t="shared" si="0"/>
        <v>5.6178147438833911E-3</v>
      </c>
      <c r="G34" s="246">
        <v>13177</v>
      </c>
      <c r="H34" s="198">
        <f t="shared" si="1"/>
        <v>6.6455252521890338E-3</v>
      </c>
      <c r="I34" s="342">
        <f t="shared" si="3"/>
        <v>21320</v>
      </c>
      <c r="J34" s="344">
        <f t="shared" si="5"/>
        <v>26426</v>
      </c>
      <c r="K34" s="200">
        <f t="shared" si="6"/>
        <v>5.5085875473736235E-3</v>
      </c>
      <c r="L34" s="92">
        <f t="shared" si="7"/>
        <v>4838</v>
      </c>
      <c r="M34" s="232">
        <f t="shared" si="8"/>
        <v>1500</v>
      </c>
      <c r="N34" s="232"/>
      <c r="O34" s="304">
        <f t="shared" si="9"/>
        <v>3338</v>
      </c>
      <c r="P34" s="134">
        <f t="shared" si="4"/>
        <v>1121</v>
      </c>
      <c r="Q34" s="94">
        <f t="shared" si="2"/>
        <v>-148</v>
      </c>
      <c r="R34" s="204">
        <f t="shared" si="11"/>
        <v>-4.2455536431440045E-2</v>
      </c>
      <c r="S34" s="91"/>
      <c r="T34" s="222">
        <v>4486</v>
      </c>
      <c r="U34" s="232">
        <v>1000</v>
      </c>
      <c r="V34" s="232"/>
      <c r="W34" s="223">
        <v>3486</v>
      </c>
      <c r="X34" s="285">
        <v>1029</v>
      </c>
      <c r="Z34" s="199"/>
      <c r="AA34" s="326"/>
      <c r="AB34" s="93"/>
      <c r="AC34" s="93"/>
      <c r="AD34" s="327"/>
      <c r="AE34" s="94"/>
      <c r="AF34" s="327"/>
      <c r="AG34" s="327"/>
      <c r="AH34" s="326"/>
      <c r="AI34" s="93"/>
    </row>
    <row r="35" spans="1:35" s="89" customFormat="1">
      <c r="A35" s="138">
        <v>27</v>
      </c>
      <c r="B35" s="146" t="s">
        <v>217</v>
      </c>
      <c r="C35" s="342">
        <v>82428</v>
      </c>
      <c r="D35" s="343">
        <v>77942</v>
      </c>
      <c r="E35" s="258">
        <v>31859</v>
      </c>
      <c r="F35" s="198">
        <f t="shared" si="0"/>
        <v>2.1979363861645704E-2</v>
      </c>
      <c r="G35" s="246">
        <v>24670</v>
      </c>
      <c r="H35" s="198">
        <f t="shared" si="1"/>
        <v>1.24417627662976E-2</v>
      </c>
      <c r="I35" s="342">
        <f t="shared" si="3"/>
        <v>56529</v>
      </c>
      <c r="J35" s="344">
        <f t="shared" si="5"/>
        <v>72300</v>
      </c>
      <c r="K35" s="200">
        <f t="shared" si="6"/>
        <v>1.5071175345308142E-2</v>
      </c>
      <c r="L35" s="92">
        <f t="shared" si="7"/>
        <v>13235</v>
      </c>
      <c r="M35" s="232">
        <f t="shared" si="8"/>
        <v>1500</v>
      </c>
      <c r="N35" s="232"/>
      <c r="O35" s="304">
        <f t="shared" si="9"/>
        <v>11735</v>
      </c>
      <c r="P35" s="134">
        <f t="shared" si="4"/>
        <v>3068</v>
      </c>
      <c r="Q35" s="94">
        <f t="shared" si="2"/>
        <v>373</v>
      </c>
      <c r="R35" s="204">
        <f t="shared" si="11"/>
        <v>3.2828727336736488E-2</v>
      </c>
      <c r="S35" s="91"/>
      <c r="T35" s="222">
        <v>12362</v>
      </c>
      <c r="U35" s="232">
        <v>1000</v>
      </c>
      <c r="V35" s="232"/>
      <c r="W35" s="223">
        <v>11362</v>
      </c>
      <c r="X35" s="285">
        <v>2835</v>
      </c>
      <c r="Z35" s="199"/>
      <c r="AA35" s="326"/>
      <c r="AB35" s="93"/>
      <c r="AC35" s="93"/>
      <c r="AD35" s="327"/>
      <c r="AE35" s="94"/>
      <c r="AF35" s="327"/>
      <c r="AG35" s="327"/>
      <c r="AH35" s="326"/>
      <c r="AI35" s="93"/>
    </row>
    <row r="36" spans="1:35" s="89" customFormat="1">
      <c r="A36" s="138">
        <v>28</v>
      </c>
      <c r="B36" s="89" t="s">
        <v>172</v>
      </c>
      <c r="C36" s="342">
        <v>312721</v>
      </c>
      <c r="D36" s="343">
        <v>289204</v>
      </c>
      <c r="E36" s="258">
        <v>60806</v>
      </c>
      <c r="F36" s="198">
        <f t="shared" si="0"/>
        <v>4.1949753569516579E-2</v>
      </c>
      <c r="G36" s="246">
        <v>124774</v>
      </c>
      <c r="H36" s="198">
        <f t="shared" si="1"/>
        <v>6.2926976384354141E-2</v>
      </c>
      <c r="I36" s="342">
        <f t="shared" si="3"/>
        <v>185580</v>
      </c>
      <c r="J36" s="344">
        <f t="shared" si="5"/>
        <v>262502</v>
      </c>
      <c r="K36" s="200">
        <f t="shared" si="6"/>
        <v>5.47194145296553E-2</v>
      </c>
      <c r="L36" s="92">
        <f t="shared" si="7"/>
        <v>48054</v>
      </c>
      <c r="M36" s="232">
        <f t="shared" si="8"/>
        <v>1500</v>
      </c>
      <c r="N36" s="232"/>
      <c r="O36" s="304">
        <f t="shared" si="9"/>
        <v>46554</v>
      </c>
      <c r="P36" s="134">
        <f t="shared" si="4"/>
        <v>11138</v>
      </c>
      <c r="Q36" s="94">
        <f t="shared" si="2"/>
        <v>1685</v>
      </c>
      <c r="R36" s="204">
        <f t="shared" si="11"/>
        <v>3.7553767634669818E-2</v>
      </c>
      <c r="S36" s="91"/>
      <c r="T36" s="222">
        <v>45869</v>
      </c>
      <c r="U36" s="232">
        <v>1000</v>
      </c>
      <c r="V36" s="232"/>
      <c r="W36" s="223">
        <v>44869</v>
      </c>
      <c r="X36" s="285">
        <v>10519</v>
      </c>
      <c r="Z36" s="199"/>
      <c r="AA36" s="326"/>
      <c r="AB36" s="93"/>
      <c r="AC36" s="93"/>
      <c r="AD36" s="327"/>
      <c r="AE36" s="94"/>
      <c r="AF36" s="327"/>
      <c r="AG36" s="327"/>
      <c r="AH36" s="326"/>
      <c r="AI36" s="93"/>
    </row>
    <row r="37" spans="1:35" s="89" customFormat="1">
      <c r="A37" s="138">
        <v>29</v>
      </c>
      <c r="B37" s="146" t="s">
        <v>218</v>
      </c>
      <c r="C37" s="342">
        <v>140587</v>
      </c>
      <c r="D37" s="343">
        <v>145655</v>
      </c>
      <c r="E37" s="258">
        <v>40576</v>
      </c>
      <c r="F37" s="198">
        <f t="shared" si="0"/>
        <v>2.7993178318532787E-2</v>
      </c>
      <c r="G37" s="246">
        <v>55159</v>
      </c>
      <c r="H37" s="198">
        <f t="shared" si="1"/>
        <v>2.781820804321886E-2</v>
      </c>
      <c r="I37" s="342">
        <f t="shared" si="3"/>
        <v>95735</v>
      </c>
      <c r="J37" s="344">
        <f t="shared" si="5"/>
        <v>127326</v>
      </c>
      <c r="K37" s="200">
        <f t="shared" si="6"/>
        <v>2.6541527967036026E-2</v>
      </c>
      <c r="L37" s="92">
        <f t="shared" si="7"/>
        <v>23308</v>
      </c>
      <c r="M37" s="232">
        <f t="shared" si="8"/>
        <v>1500</v>
      </c>
      <c r="N37" s="232"/>
      <c r="O37" s="304">
        <f t="shared" si="9"/>
        <v>21808</v>
      </c>
      <c r="P37" s="134">
        <f t="shared" ref="P37:P58" si="12">ROUND(K37*$H$5,0)</f>
        <v>5402</v>
      </c>
      <c r="Q37" s="94">
        <f t="shared" si="2"/>
        <v>-293</v>
      </c>
      <c r="R37" s="204">
        <f t="shared" si="11"/>
        <v>-1.3257318673363196E-2</v>
      </c>
      <c r="S37" s="91"/>
      <c r="T37" s="222">
        <v>23101</v>
      </c>
      <c r="U37" s="232">
        <v>1000</v>
      </c>
      <c r="V37" s="232"/>
      <c r="W37" s="223">
        <v>22101</v>
      </c>
      <c r="X37" s="285">
        <v>5298</v>
      </c>
      <c r="Z37" s="199"/>
      <c r="AA37" s="326"/>
      <c r="AB37" s="93"/>
      <c r="AC37" s="93"/>
      <c r="AD37" s="327"/>
      <c r="AE37" s="94"/>
      <c r="AF37" s="327"/>
      <c r="AG37" s="327"/>
      <c r="AH37" s="326"/>
      <c r="AI37" s="93"/>
    </row>
    <row r="38" spans="1:35" s="89" customFormat="1">
      <c r="A38" s="138">
        <v>30</v>
      </c>
      <c r="B38" s="89" t="s">
        <v>219</v>
      </c>
      <c r="C38" s="342">
        <v>40971</v>
      </c>
      <c r="D38" s="343">
        <v>41778</v>
      </c>
      <c r="E38" s="258">
        <v>15551</v>
      </c>
      <c r="F38" s="198">
        <f t="shared" si="0"/>
        <v>1.0728556684530348E-2</v>
      </c>
      <c r="G38" s="246">
        <v>23973</v>
      </c>
      <c r="H38" s="198">
        <f t="shared" si="1"/>
        <v>1.2090246404396123E-2</v>
      </c>
      <c r="I38" s="342">
        <f t="shared" si="3"/>
        <v>39524</v>
      </c>
      <c r="J38" s="344">
        <f t="shared" si="5"/>
        <v>40758</v>
      </c>
      <c r="K38" s="200">
        <f t="shared" si="6"/>
        <v>8.4961405909276533E-3</v>
      </c>
      <c r="L38" s="92">
        <f t="shared" si="7"/>
        <v>7461</v>
      </c>
      <c r="M38" s="232">
        <f t="shared" si="8"/>
        <v>1500</v>
      </c>
      <c r="N38" s="232"/>
      <c r="O38" s="304">
        <f t="shared" si="9"/>
        <v>5961</v>
      </c>
      <c r="P38" s="134">
        <f t="shared" si="12"/>
        <v>1729</v>
      </c>
      <c r="Q38" s="94">
        <f t="shared" si="2"/>
        <v>335</v>
      </c>
      <c r="R38" s="204">
        <f t="shared" ref="R38:R59" si="13">(O38-W38)/W38</f>
        <v>5.9544969783149659E-2</v>
      </c>
      <c r="S38" s="91"/>
      <c r="T38" s="222">
        <v>6626</v>
      </c>
      <c r="U38" s="232">
        <v>1000</v>
      </c>
      <c r="V38" s="232"/>
      <c r="W38" s="223">
        <v>5626</v>
      </c>
      <c r="X38" s="285">
        <v>1520</v>
      </c>
      <c r="Z38" s="199"/>
      <c r="AA38" s="326"/>
      <c r="AB38" s="93"/>
      <c r="AC38" s="93"/>
      <c r="AD38" s="327"/>
      <c r="AE38" s="94"/>
      <c r="AF38" s="327"/>
      <c r="AG38" s="327"/>
      <c r="AH38" s="326"/>
      <c r="AI38" s="93"/>
    </row>
    <row r="39" spans="1:35" s="89" customFormat="1">
      <c r="A39" s="138">
        <v>31</v>
      </c>
      <c r="B39" s="89" t="s">
        <v>173</v>
      </c>
      <c r="C39" s="342">
        <v>357881</v>
      </c>
      <c r="D39" s="343">
        <v>324184</v>
      </c>
      <c r="E39" s="258">
        <v>52770</v>
      </c>
      <c r="F39" s="198">
        <f t="shared" si="0"/>
        <v>3.6405757587464886E-2</v>
      </c>
      <c r="G39" s="246">
        <v>156370</v>
      </c>
      <c r="H39" s="198">
        <f t="shared" si="1"/>
        <v>7.8861712353707161E-2</v>
      </c>
      <c r="I39" s="342">
        <f t="shared" si="3"/>
        <v>209140</v>
      </c>
      <c r="J39" s="344">
        <f t="shared" si="5"/>
        <v>297068</v>
      </c>
      <c r="K39" s="200">
        <f t="shared" si="6"/>
        <v>6.1924812136652831E-2</v>
      </c>
      <c r="L39" s="92">
        <f t="shared" si="7"/>
        <v>54381</v>
      </c>
      <c r="M39" s="232">
        <f t="shared" si="8"/>
        <v>1500</v>
      </c>
      <c r="N39" s="232"/>
      <c r="O39" s="304">
        <f t="shared" si="9"/>
        <v>52881</v>
      </c>
      <c r="P39" s="134">
        <f t="shared" si="12"/>
        <v>12604</v>
      </c>
      <c r="Q39" s="94">
        <f t="shared" si="2"/>
        <v>2464</v>
      </c>
      <c r="R39" s="204">
        <f t="shared" si="13"/>
        <v>4.8872404149394054E-2</v>
      </c>
      <c r="S39" s="91"/>
      <c r="T39" s="222">
        <v>51417</v>
      </c>
      <c r="U39" s="232">
        <v>1000</v>
      </c>
      <c r="V39" s="232"/>
      <c r="W39" s="223">
        <v>50417</v>
      </c>
      <c r="X39" s="285">
        <v>11792</v>
      </c>
      <c r="Z39" s="199"/>
      <c r="AA39" s="326"/>
      <c r="AB39" s="93"/>
      <c r="AC39" s="93"/>
      <c r="AD39" s="327"/>
      <c r="AE39" s="94"/>
      <c r="AF39" s="327"/>
      <c r="AG39" s="327"/>
      <c r="AH39" s="326"/>
      <c r="AI39" s="93"/>
    </row>
    <row r="40" spans="1:35" s="89" customFormat="1">
      <c r="A40" s="138">
        <v>32</v>
      </c>
      <c r="B40" s="89" t="s">
        <v>220</v>
      </c>
      <c r="C40" s="342">
        <v>49149</v>
      </c>
      <c r="D40" s="343">
        <v>38924</v>
      </c>
      <c r="E40" s="258">
        <v>16615</v>
      </c>
      <c r="F40" s="198">
        <f t="shared" si="0"/>
        <v>1.1462604933024997E-2</v>
      </c>
      <c r="G40" s="246">
        <v>13883</v>
      </c>
      <c r="H40" s="198">
        <f t="shared" si="1"/>
        <v>7.0015805628094677E-3</v>
      </c>
      <c r="I40" s="342">
        <f t="shared" si="3"/>
        <v>30498</v>
      </c>
      <c r="J40" s="344">
        <f t="shared" si="5"/>
        <v>39524</v>
      </c>
      <c r="K40" s="200">
        <f t="shared" si="6"/>
        <v>8.2389091887684514E-3</v>
      </c>
      <c r="L40" s="92">
        <f t="shared" si="7"/>
        <v>7235</v>
      </c>
      <c r="M40" s="232">
        <f t="shared" si="8"/>
        <v>1500</v>
      </c>
      <c r="N40" s="232"/>
      <c r="O40" s="304">
        <f t="shared" si="9"/>
        <v>5735</v>
      </c>
      <c r="P40" s="134">
        <f t="shared" si="12"/>
        <v>1677</v>
      </c>
      <c r="Q40" s="94">
        <f t="shared" si="2"/>
        <v>562</v>
      </c>
      <c r="R40" s="204">
        <f t="shared" si="13"/>
        <v>0.10864102068432244</v>
      </c>
      <c r="S40" s="91"/>
      <c r="T40" s="222">
        <v>6173</v>
      </c>
      <c r="U40" s="232">
        <v>1000</v>
      </c>
      <c r="V40" s="232"/>
      <c r="W40" s="223">
        <v>5173</v>
      </c>
      <c r="X40" s="285">
        <v>1416</v>
      </c>
      <c r="Z40" s="199"/>
      <c r="AA40" s="326"/>
      <c r="AB40" s="93"/>
      <c r="AC40" s="93"/>
      <c r="AD40" s="327"/>
      <c r="AE40" s="94"/>
      <c r="AF40" s="327"/>
      <c r="AG40" s="327"/>
      <c r="AH40" s="326"/>
      <c r="AI40" s="93"/>
    </row>
    <row r="41" spans="1:35" s="89" customFormat="1">
      <c r="A41" s="138">
        <v>33</v>
      </c>
      <c r="B41" s="89" t="s">
        <v>174</v>
      </c>
      <c r="C41" s="342">
        <v>262985</v>
      </c>
      <c r="D41" s="343">
        <v>261151</v>
      </c>
      <c r="E41" s="258">
        <v>55997</v>
      </c>
      <c r="F41" s="198">
        <f t="shared" ref="F41:F58" si="14">E41/$E$59</f>
        <v>3.8632048656912471E-2</v>
      </c>
      <c r="G41" s="246">
        <v>107565</v>
      </c>
      <c r="H41" s="198">
        <f t="shared" ref="H41:H58" si="15">G41/$G$59</f>
        <v>5.4248002106072203E-2</v>
      </c>
      <c r="I41" s="342">
        <f t="shared" si="3"/>
        <v>163562</v>
      </c>
      <c r="J41" s="344">
        <f t="shared" si="5"/>
        <v>229233</v>
      </c>
      <c r="K41" s="200">
        <f t="shared" si="6"/>
        <v>4.7784380884246497E-2</v>
      </c>
      <c r="L41" s="92">
        <f t="shared" si="7"/>
        <v>41963</v>
      </c>
      <c r="M41" s="232">
        <f t="shared" si="8"/>
        <v>1500</v>
      </c>
      <c r="N41" s="232"/>
      <c r="O41" s="304">
        <f t="shared" si="9"/>
        <v>40463</v>
      </c>
      <c r="P41" s="134">
        <f t="shared" si="12"/>
        <v>9726</v>
      </c>
      <c r="Q41" s="94">
        <f t="shared" si="2"/>
        <v>44</v>
      </c>
      <c r="R41" s="204">
        <f t="shared" si="13"/>
        <v>1.0885969469803804E-3</v>
      </c>
      <c r="S41" s="91"/>
      <c r="T41" s="222">
        <v>41419</v>
      </c>
      <c r="U41" s="232">
        <v>1000</v>
      </c>
      <c r="V41" s="232"/>
      <c r="W41" s="223">
        <v>40419</v>
      </c>
      <c r="X41" s="285">
        <v>9499</v>
      </c>
      <c r="Z41" s="199"/>
      <c r="AA41" s="326"/>
      <c r="AB41" s="93"/>
      <c r="AC41" s="93"/>
      <c r="AD41" s="327"/>
      <c r="AE41" s="94"/>
      <c r="AF41" s="327"/>
      <c r="AG41" s="327"/>
      <c r="AH41" s="326"/>
      <c r="AI41" s="93"/>
    </row>
    <row r="42" spans="1:35" s="89" customFormat="1">
      <c r="A42" s="138">
        <v>34</v>
      </c>
      <c r="B42" s="146" t="s">
        <v>221</v>
      </c>
      <c r="C42" s="342">
        <v>28627</v>
      </c>
      <c r="D42" s="343">
        <v>28936</v>
      </c>
      <c r="E42" s="258">
        <v>18944</v>
      </c>
      <c r="F42" s="198">
        <f t="shared" si="14"/>
        <v>1.3069370319062626E-2</v>
      </c>
      <c r="G42" s="246">
        <v>5978</v>
      </c>
      <c r="H42" s="198">
        <f t="shared" si="15"/>
        <v>3.0148706046585752E-3</v>
      </c>
      <c r="I42" s="342">
        <f t="shared" si="3"/>
        <v>24922</v>
      </c>
      <c r="J42" s="344">
        <f t="shared" si="5"/>
        <v>27495</v>
      </c>
      <c r="K42" s="200">
        <f t="shared" si="6"/>
        <v>5.7314241510269346E-3</v>
      </c>
      <c r="L42" s="92">
        <f t="shared" si="7"/>
        <v>5033</v>
      </c>
      <c r="M42" s="232">
        <f t="shared" si="8"/>
        <v>1500</v>
      </c>
      <c r="N42" s="232"/>
      <c r="O42" s="304">
        <f t="shared" si="9"/>
        <v>3533</v>
      </c>
      <c r="P42" s="134">
        <f t="shared" si="12"/>
        <v>1167</v>
      </c>
      <c r="Q42" s="94">
        <f t="shared" si="2"/>
        <v>-56</v>
      </c>
      <c r="R42" s="204">
        <f t="shared" si="13"/>
        <v>-1.5603232098077459E-2</v>
      </c>
      <c r="S42" s="91"/>
      <c r="T42" s="222">
        <v>4589</v>
      </c>
      <c r="U42" s="232">
        <v>1000</v>
      </c>
      <c r="V42" s="232"/>
      <c r="W42" s="223">
        <v>3589</v>
      </c>
      <c r="X42" s="285">
        <v>1053</v>
      </c>
      <c r="Z42" s="199"/>
      <c r="AA42" s="326"/>
      <c r="AB42" s="93"/>
      <c r="AC42" s="93"/>
      <c r="AD42" s="327"/>
      <c r="AE42" s="94"/>
      <c r="AF42" s="327"/>
      <c r="AG42" s="327"/>
      <c r="AH42" s="326"/>
      <c r="AI42" s="93"/>
    </row>
    <row r="43" spans="1:35" s="89" customFormat="1">
      <c r="A43" s="138">
        <v>35</v>
      </c>
      <c r="B43" s="89" t="s">
        <v>222</v>
      </c>
      <c r="C43" s="342">
        <v>92688</v>
      </c>
      <c r="D43" s="343">
        <v>98093</v>
      </c>
      <c r="E43" s="258">
        <v>25709</v>
      </c>
      <c r="F43" s="198">
        <f t="shared" si="14"/>
        <v>1.7736509793748998E-2</v>
      </c>
      <c r="G43" s="246">
        <v>36231</v>
      </c>
      <c r="H43" s="198">
        <f t="shared" si="15"/>
        <v>1.8272294559616067E-2</v>
      </c>
      <c r="I43" s="342">
        <f t="shared" si="3"/>
        <v>61940</v>
      </c>
      <c r="J43" s="344">
        <f t="shared" si="5"/>
        <v>84240</v>
      </c>
      <c r="K43" s="200">
        <f t="shared" si="6"/>
        <v>1.7560108037188906E-2</v>
      </c>
      <c r="L43" s="92">
        <f t="shared" si="7"/>
        <v>15421</v>
      </c>
      <c r="M43" s="232">
        <f t="shared" si="8"/>
        <v>1500</v>
      </c>
      <c r="N43" s="232"/>
      <c r="O43" s="304">
        <f t="shared" si="9"/>
        <v>13921</v>
      </c>
      <c r="P43" s="134">
        <f t="shared" si="12"/>
        <v>3574</v>
      </c>
      <c r="Q43" s="94">
        <f t="shared" si="2"/>
        <v>-637</v>
      </c>
      <c r="R43" s="204">
        <f t="shared" si="13"/>
        <v>-4.3756010440994642E-2</v>
      </c>
      <c r="S43" s="91"/>
      <c r="T43" s="222">
        <v>15558</v>
      </c>
      <c r="U43" s="232">
        <v>1000</v>
      </c>
      <c r="V43" s="232"/>
      <c r="W43" s="223">
        <v>14558</v>
      </c>
      <c r="X43" s="285">
        <v>3568</v>
      </c>
      <c r="Z43" s="199"/>
      <c r="AA43" s="326"/>
      <c r="AB43" s="93"/>
      <c r="AC43" s="93"/>
      <c r="AD43" s="327"/>
      <c r="AE43" s="94"/>
      <c r="AF43" s="327"/>
      <c r="AG43" s="327"/>
      <c r="AH43" s="326"/>
      <c r="AI43" s="93"/>
    </row>
    <row r="44" spans="1:35" s="89" customFormat="1">
      <c r="A44" s="138">
        <v>36</v>
      </c>
      <c r="B44" s="89" t="s">
        <v>223</v>
      </c>
      <c r="C44" s="342">
        <v>97878</v>
      </c>
      <c r="D44" s="343">
        <v>95551</v>
      </c>
      <c r="E44" s="258">
        <v>42279</v>
      </c>
      <c r="F44" s="198">
        <f t="shared" si="14"/>
        <v>2.916806945310646E-2</v>
      </c>
      <c r="G44" s="246">
        <v>32474</v>
      </c>
      <c r="H44" s="198">
        <f t="shared" si="15"/>
        <v>1.6377535633269082E-2</v>
      </c>
      <c r="I44" s="342">
        <f t="shared" si="3"/>
        <v>74753</v>
      </c>
      <c r="J44" s="344">
        <f t="shared" si="5"/>
        <v>89394</v>
      </c>
      <c r="K44" s="200">
        <f t="shared" si="6"/>
        <v>1.8634476470518344E-2</v>
      </c>
      <c r="L44" s="92">
        <f t="shared" si="7"/>
        <v>16364</v>
      </c>
      <c r="M44" s="232">
        <f t="shared" si="8"/>
        <v>1500</v>
      </c>
      <c r="N44" s="232"/>
      <c r="O44" s="304">
        <f t="shared" si="9"/>
        <v>14864</v>
      </c>
      <c r="P44" s="134">
        <f t="shared" si="12"/>
        <v>3793</v>
      </c>
      <c r="Q44" s="94">
        <f t="shared" si="2"/>
        <v>709</v>
      </c>
      <c r="R44" s="204">
        <f t="shared" si="13"/>
        <v>5.0088308018368069E-2</v>
      </c>
      <c r="S44" s="91"/>
      <c r="T44" s="222">
        <v>15155</v>
      </c>
      <c r="U44" s="232">
        <v>1000</v>
      </c>
      <c r="V44" s="232"/>
      <c r="W44" s="223">
        <v>14155</v>
      </c>
      <c r="X44" s="285">
        <v>3476</v>
      </c>
      <c r="Z44" s="199"/>
      <c r="AA44" s="326"/>
      <c r="AB44" s="93"/>
      <c r="AC44" s="93"/>
      <c r="AD44" s="327"/>
      <c r="AE44" s="94"/>
      <c r="AF44" s="327"/>
      <c r="AG44" s="327"/>
      <c r="AH44" s="326"/>
      <c r="AI44" s="93"/>
    </row>
    <row r="45" spans="1:35" s="89" customFormat="1">
      <c r="A45" s="138">
        <v>37</v>
      </c>
      <c r="B45" s="89" t="s">
        <v>175</v>
      </c>
      <c r="C45" s="342">
        <v>30369</v>
      </c>
      <c r="D45" s="343">
        <v>30719</v>
      </c>
      <c r="E45" s="258">
        <v>13974</v>
      </c>
      <c r="F45" s="198">
        <f t="shared" si="14"/>
        <v>9.6405923162257781E-3</v>
      </c>
      <c r="G45" s="246">
        <v>7763</v>
      </c>
      <c r="H45" s="198">
        <f t="shared" si="15"/>
        <v>3.9150954339184545E-3</v>
      </c>
      <c r="I45" s="342">
        <f t="shared" si="3"/>
        <v>21737</v>
      </c>
      <c r="J45" s="344">
        <f t="shared" si="5"/>
        <v>27608</v>
      </c>
      <c r="K45" s="200">
        <f t="shared" si="6"/>
        <v>5.7549793766703628E-3</v>
      </c>
      <c r="L45" s="92">
        <f t="shared" si="7"/>
        <v>5054</v>
      </c>
      <c r="M45" s="232">
        <f t="shared" si="8"/>
        <v>1500</v>
      </c>
      <c r="N45" s="232"/>
      <c r="O45" s="304">
        <f t="shared" si="9"/>
        <v>3554</v>
      </c>
      <c r="P45" s="134">
        <f t="shared" si="12"/>
        <v>1171</v>
      </c>
      <c r="Q45" s="94">
        <f t="shared" si="2"/>
        <v>-318</v>
      </c>
      <c r="R45" s="204">
        <f t="shared" si="13"/>
        <v>-8.2128099173553723E-2</v>
      </c>
      <c r="S45" s="91"/>
      <c r="T45" s="222">
        <v>4872</v>
      </c>
      <c r="U45" s="232">
        <v>1000</v>
      </c>
      <c r="V45" s="232"/>
      <c r="W45" s="223">
        <v>3872</v>
      </c>
      <c r="X45" s="285">
        <v>1117</v>
      </c>
      <c r="Z45" s="199"/>
      <c r="AA45" s="326"/>
      <c r="AB45" s="93"/>
      <c r="AC45" s="93"/>
      <c r="AD45" s="327"/>
      <c r="AE45" s="94"/>
      <c r="AF45" s="327"/>
      <c r="AG45" s="327"/>
      <c r="AH45" s="326"/>
      <c r="AI45" s="93"/>
    </row>
    <row r="46" spans="1:35" s="89" customFormat="1">
      <c r="A46" s="138">
        <v>38</v>
      </c>
      <c r="B46" s="146" t="s">
        <v>224</v>
      </c>
      <c r="C46" s="342">
        <v>83734</v>
      </c>
      <c r="D46" s="343">
        <v>79515</v>
      </c>
      <c r="E46" s="258">
        <v>21119</v>
      </c>
      <c r="F46" s="198">
        <f t="shared" si="14"/>
        <v>1.456989187966024E-2</v>
      </c>
      <c r="G46" s="246">
        <v>28255</v>
      </c>
      <c r="H46" s="198">
        <f t="shared" si="15"/>
        <v>1.4249777339348953E-2</v>
      </c>
      <c r="I46" s="342">
        <f t="shared" si="3"/>
        <v>49374</v>
      </c>
      <c r="J46" s="344">
        <f t="shared" si="5"/>
        <v>70874</v>
      </c>
      <c r="K46" s="200">
        <f t="shared" si="6"/>
        <v>1.4773920904887543E-2</v>
      </c>
      <c r="L46" s="92">
        <f t="shared" si="7"/>
        <v>12974</v>
      </c>
      <c r="M46" s="232">
        <f t="shared" si="8"/>
        <v>1500</v>
      </c>
      <c r="N46" s="232"/>
      <c r="O46" s="304">
        <f t="shared" si="9"/>
        <v>11474</v>
      </c>
      <c r="P46" s="134">
        <f t="shared" si="12"/>
        <v>3007</v>
      </c>
      <c r="Q46" s="94">
        <f t="shared" si="2"/>
        <v>-137</v>
      </c>
      <c r="R46" s="204">
        <f t="shared" si="13"/>
        <v>-1.1799155972784428E-2</v>
      </c>
      <c r="S46" s="91"/>
      <c r="T46" s="222">
        <v>12611</v>
      </c>
      <c r="U46" s="232">
        <v>1000</v>
      </c>
      <c r="V46" s="232"/>
      <c r="W46" s="223">
        <v>11611</v>
      </c>
      <c r="X46" s="285">
        <v>2892</v>
      </c>
      <c r="Z46" s="199"/>
      <c r="AA46" s="326"/>
      <c r="AB46" s="93"/>
      <c r="AC46" s="93"/>
      <c r="AD46" s="327"/>
      <c r="AE46" s="94"/>
      <c r="AF46" s="327"/>
      <c r="AG46" s="327"/>
      <c r="AH46" s="326"/>
      <c r="AI46" s="93"/>
    </row>
    <row r="47" spans="1:35" s="89" customFormat="1">
      <c r="A47" s="138">
        <v>39</v>
      </c>
      <c r="B47" s="146" t="s">
        <v>225</v>
      </c>
      <c r="C47" s="342">
        <v>37971</v>
      </c>
      <c r="D47" s="343">
        <v>39603</v>
      </c>
      <c r="E47" s="258">
        <v>17740</v>
      </c>
      <c r="F47" s="198">
        <f t="shared" si="14"/>
        <v>1.2238736774713418E-2</v>
      </c>
      <c r="G47" s="246">
        <v>13640</v>
      </c>
      <c r="H47" s="198">
        <f t="shared" si="15"/>
        <v>6.8790289473976193E-3</v>
      </c>
      <c r="I47" s="342">
        <f t="shared" si="3"/>
        <v>31380</v>
      </c>
      <c r="J47" s="344">
        <f t="shared" si="5"/>
        <v>36318</v>
      </c>
      <c r="K47" s="200">
        <f t="shared" si="6"/>
        <v>7.5706078311327954E-3</v>
      </c>
      <c r="L47" s="92">
        <f t="shared" si="7"/>
        <v>6648</v>
      </c>
      <c r="M47" s="232">
        <f t="shared" si="8"/>
        <v>1500</v>
      </c>
      <c r="N47" s="232"/>
      <c r="O47" s="304">
        <f t="shared" si="9"/>
        <v>5148</v>
      </c>
      <c r="P47" s="134">
        <f t="shared" si="12"/>
        <v>1541</v>
      </c>
      <c r="Q47" s="94">
        <f t="shared" si="2"/>
        <v>-133</v>
      </c>
      <c r="R47" s="204">
        <f t="shared" si="13"/>
        <v>-2.5184624124218898E-2</v>
      </c>
      <c r="S47" s="91"/>
      <c r="T47" s="222">
        <v>6281</v>
      </c>
      <c r="U47" s="232">
        <v>1000</v>
      </c>
      <c r="V47" s="232"/>
      <c r="W47" s="223">
        <v>5281</v>
      </c>
      <c r="X47" s="285">
        <v>1441</v>
      </c>
      <c r="Z47" s="199"/>
      <c r="AA47" s="326"/>
      <c r="AB47" s="93"/>
      <c r="AC47" s="93"/>
      <c r="AD47" s="327"/>
      <c r="AE47" s="94"/>
      <c r="AF47" s="327"/>
      <c r="AG47" s="327"/>
      <c r="AH47" s="326"/>
      <c r="AI47" s="93"/>
    </row>
    <row r="48" spans="1:35" s="89" customFormat="1">
      <c r="A48" s="138">
        <v>40</v>
      </c>
      <c r="B48" s="89" t="s">
        <v>226</v>
      </c>
      <c r="C48" s="342">
        <v>84235</v>
      </c>
      <c r="D48" s="343">
        <v>82838</v>
      </c>
      <c r="E48" s="258">
        <v>30735</v>
      </c>
      <c r="F48" s="198">
        <f t="shared" si="14"/>
        <v>2.1203921914927672E-2</v>
      </c>
      <c r="G48" s="246">
        <v>26476</v>
      </c>
      <c r="H48" s="198">
        <f t="shared" si="15"/>
        <v>1.3352578475901712E-2</v>
      </c>
      <c r="I48" s="342">
        <f t="shared" si="3"/>
        <v>57211</v>
      </c>
      <c r="J48" s="344">
        <f t="shared" si="5"/>
        <v>74761</v>
      </c>
      <c r="K48" s="200">
        <f t="shared" si="6"/>
        <v>1.5584178976356599E-2</v>
      </c>
      <c r="L48" s="92">
        <f t="shared" si="7"/>
        <v>13686</v>
      </c>
      <c r="M48" s="232">
        <f t="shared" si="8"/>
        <v>1500</v>
      </c>
      <c r="N48" s="232"/>
      <c r="O48" s="304">
        <f t="shared" si="9"/>
        <v>12186</v>
      </c>
      <c r="P48" s="134">
        <f t="shared" si="12"/>
        <v>3172</v>
      </c>
      <c r="Q48" s="94">
        <f t="shared" si="2"/>
        <v>48</v>
      </c>
      <c r="R48" s="204">
        <f t="shared" si="13"/>
        <v>3.9545229856648538E-3</v>
      </c>
      <c r="S48" s="91"/>
      <c r="T48" s="222">
        <v>13138</v>
      </c>
      <c r="U48" s="232">
        <v>1000</v>
      </c>
      <c r="V48" s="232"/>
      <c r="W48" s="223">
        <v>12138</v>
      </c>
      <c r="X48" s="285">
        <v>3013</v>
      </c>
      <c r="Z48" s="199"/>
      <c r="AA48" s="326"/>
      <c r="AB48" s="93"/>
      <c r="AC48" s="93"/>
      <c r="AD48" s="327"/>
      <c r="AE48" s="94"/>
      <c r="AF48" s="327"/>
      <c r="AG48" s="327"/>
      <c r="AH48" s="326"/>
      <c r="AI48" s="93"/>
    </row>
    <row r="49" spans="1:37" s="89" customFormat="1">
      <c r="A49" s="138">
        <v>41</v>
      </c>
      <c r="B49" s="146" t="s">
        <v>227</v>
      </c>
      <c r="C49" s="342">
        <v>200730</v>
      </c>
      <c r="D49" s="343">
        <v>161211</v>
      </c>
      <c r="E49" s="258">
        <v>28325</v>
      </c>
      <c r="F49" s="198">
        <f t="shared" si="14"/>
        <v>1.9541275036288476E-2</v>
      </c>
      <c r="G49" s="246">
        <v>79776</v>
      </c>
      <c r="H49" s="198">
        <f t="shared" si="15"/>
        <v>4.0233241444838155E-2</v>
      </c>
      <c r="I49" s="342">
        <f t="shared" si="3"/>
        <v>108101</v>
      </c>
      <c r="J49" s="344">
        <f t="shared" si="5"/>
        <v>156681</v>
      </c>
      <c r="K49" s="200">
        <f t="shared" si="6"/>
        <v>3.2660675301220264E-2</v>
      </c>
      <c r="L49" s="92">
        <f t="shared" si="7"/>
        <v>28682</v>
      </c>
      <c r="M49" s="232">
        <f t="shared" si="8"/>
        <v>1500</v>
      </c>
      <c r="N49" s="232"/>
      <c r="O49" s="304">
        <f t="shared" si="9"/>
        <v>27182</v>
      </c>
      <c r="P49" s="134">
        <f t="shared" si="12"/>
        <v>6648</v>
      </c>
      <c r="Q49" s="94">
        <f t="shared" si="2"/>
        <v>2613</v>
      </c>
      <c r="R49" s="204">
        <f t="shared" si="13"/>
        <v>0.1063535349424071</v>
      </c>
      <c r="S49" s="91"/>
      <c r="T49" s="222">
        <v>25569</v>
      </c>
      <c r="U49" s="232">
        <v>1000</v>
      </c>
      <c r="V49" s="232"/>
      <c r="W49" s="223">
        <v>24569</v>
      </c>
      <c r="X49" s="285">
        <v>5864</v>
      </c>
      <c r="Z49" s="199"/>
      <c r="AA49" s="326"/>
      <c r="AB49" s="93"/>
      <c r="AC49" s="93"/>
      <c r="AD49" s="327"/>
      <c r="AE49" s="94"/>
      <c r="AF49" s="327"/>
      <c r="AG49" s="327"/>
      <c r="AH49" s="326"/>
      <c r="AI49" s="93"/>
    </row>
    <row r="50" spans="1:37" s="89" customFormat="1">
      <c r="A50" s="138">
        <v>42</v>
      </c>
      <c r="B50" s="89" t="s">
        <v>178</v>
      </c>
      <c r="C50" s="342">
        <v>385099</v>
      </c>
      <c r="D50" s="343">
        <v>367676</v>
      </c>
      <c r="E50" s="258">
        <v>89122</v>
      </c>
      <c r="F50" s="198">
        <f t="shared" si="14"/>
        <v>6.1484819551071546E-2</v>
      </c>
      <c r="G50" s="246">
        <v>114568</v>
      </c>
      <c r="H50" s="198">
        <f t="shared" si="15"/>
        <v>5.7779808537056485E-2</v>
      </c>
      <c r="I50" s="342">
        <f t="shared" si="3"/>
        <v>203690</v>
      </c>
      <c r="J50" s="344">
        <f t="shared" si="5"/>
        <v>318822</v>
      </c>
      <c r="K50" s="200">
        <f t="shared" si="6"/>
        <v>6.6459505752999068E-2</v>
      </c>
      <c r="L50" s="92">
        <f t="shared" si="7"/>
        <v>58364</v>
      </c>
      <c r="M50" s="232">
        <f t="shared" si="8"/>
        <v>1500</v>
      </c>
      <c r="N50" s="299">
        <f>K68*M3</f>
        <v>4298.8462816803985</v>
      </c>
      <c r="O50" s="304">
        <f t="shared" si="9"/>
        <v>52565.153718319605</v>
      </c>
      <c r="P50" s="134">
        <f t="shared" si="12"/>
        <v>13528</v>
      </c>
      <c r="Q50" s="94">
        <f t="shared" si="2"/>
        <v>-418.17174515387887</v>
      </c>
      <c r="R50" s="204">
        <f t="shared" si="13"/>
        <v>-7.8925160226525418E-3</v>
      </c>
      <c r="S50" s="91"/>
      <c r="T50" s="222">
        <v>58315</v>
      </c>
      <c r="U50" s="232">
        <v>1000</v>
      </c>
      <c r="V50" s="232">
        <v>4331.6745365265178</v>
      </c>
      <c r="W50" s="223">
        <v>52983.325463473484</v>
      </c>
      <c r="X50" s="285">
        <v>13374</v>
      </c>
      <c r="Z50" s="199"/>
      <c r="AA50" s="326"/>
      <c r="AB50" s="93"/>
      <c r="AC50" s="93"/>
      <c r="AD50" s="327"/>
      <c r="AE50" s="94"/>
      <c r="AF50" s="327"/>
      <c r="AG50" s="327"/>
      <c r="AH50" s="326"/>
      <c r="AI50" s="93"/>
    </row>
    <row r="51" spans="1:37" s="89" customFormat="1">
      <c r="A51" s="138">
        <v>43</v>
      </c>
      <c r="B51" s="89" t="s">
        <v>228</v>
      </c>
      <c r="C51" s="342">
        <v>104149</v>
      </c>
      <c r="D51" s="343">
        <v>102864</v>
      </c>
      <c r="E51" s="258">
        <v>26821</v>
      </c>
      <c r="F51" s="198">
        <f t="shared" si="14"/>
        <v>1.8503673000822354E-2</v>
      </c>
      <c r="G51" s="246">
        <v>43904</v>
      </c>
      <c r="H51" s="198">
        <f t="shared" si="15"/>
        <v>2.2142000506344947E-2</v>
      </c>
      <c r="I51" s="342">
        <f t="shared" si="3"/>
        <v>70725</v>
      </c>
      <c r="J51" s="344">
        <f t="shared" si="5"/>
        <v>92579</v>
      </c>
      <c r="K51" s="200">
        <f t="shared" si="6"/>
        <v>1.9298400308344156E-2</v>
      </c>
      <c r="L51" s="92">
        <f t="shared" si="7"/>
        <v>16948</v>
      </c>
      <c r="M51" s="232">
        <f t="shared" si="8"/>
        <v>1500</v>
      </c>
      <c r="N51" s="232"/>
      <c r="O51" s="304">
        <f t="shared" si="9"/>
        <v>15448</v>
      </c>
      <c r="P51" s="134">
        <f t="shared" si="12"/>
        <v>3928</v>
      </c>
      <c r="Q51" s="94">
        <f t="shared" si="2"/>
        <v>133</v>
      </c>
      <c r="R51" s="204">
        <f t="shared" si="13"/>
        <v>8.6842964413973225E-3</v>
      </c>
      <c r="S51" s="91"/>
      <c r="T51" s="222">
        <v>16315</v>
      </c>
      <c r="U51" s="232">
        <v>1000</v>
      </c>
      <c r="V51" s="232"/>
      <c r="W51" s="223">
        <v>15315</v>
      </c>
      <c r="X51" s="285">
        <v>3742</v>
      </c>
      <c r="Z51" s="199"/>
      <c r="AA51" s="326"/>
      <c r="AB51" s="93"/>
      <c r="AC51" s="93"/>
      <c r="AD51" s="327"/>
      <c r="AE51" s="94"/>
      <c r="AF51" s="327"/>
      <c r="AG51" s="327"/>
      <c r="AH51" s="326"/>
      <c r="AI51" s="93"/>
    </row>
    <row r="52" spans="1:37" s="89" customFormat="1">
      <c r="A52" s="138">
        <v>44</v>
      </c>
      <c r="B52" s="146" t="s">
        <v>229</v>
      </c>
      <c r="C52" s="342">
        <v>15720</v>
      </c>
      <c r="D52" s="343">
        <v>17639</v>
      </c>
      <c r="E52" s="258">
        <v>7873</v>
      </c>
      <c r="F52" s="198">
        <f t="shared" si="14"/>
        <v>5.4315431018781704E-3</v>
      </c>
      <c r="G52" s="246">
        <v>4675</v>
      </c>
      <c r="H52" s="198">
        <f t="shared" si="15"/>
        <v>2.3577316956806356E-3</v>
      </c>
      <c r="I52" s="342">
        <f t="shared" si="3"/>
        <v>12548</v>
      </c>
      <c r="J52" s="344">
        <f t="shared" si="5"/>
        <v>15302</v>
      </c>
      <c r="K52" s="200">
        <f t="shared" si="6"/>
        <v>3.1897527681038064E-3</v>
      </c>
      <c r="L52" s="92">
        <f t="shared" si="7"/>
        <v>2801</v>
      </c>
      <c r="M52" s="232">
        <f t="shared" si="8"/>
        <v>1400.5</v>
      </c>
      <c r="N52" s="232"/>
      <c r="O52" s="304">
        <f t="shared" si="9"/>
        <v>1400.5</v>
      </c>
      <c r="P52" s="134">
        <f t="shared" si="12"/>
        <v>649</v>
      </c>
      <c r="Q52" s="94">
        <f>O52-W52</f>
        <v>-397.5</v>
      </c>
      <c r="R52" s="204">
        <f t="shared" si="13"/>
        <v>-0.22107897664071191</v>
      </c>
      <c r="S52" s="91"/>
      <c r="T52" s="222">
        <v>2798</v>
      </c>
      <c r="U52" s="232">
        <v>1000</v>
      </c>
      <c r="V52" s="232"/>
      <c r="W52" s="223">
        <v>1798</v>
      </c>
      <c r="X52" s="285">
        <v>642</v>
      </c>
      <c r="Z52" s="199"/>
      <c r="AA52" s="326"/>
      <c r="AB52" s="93"/>
      <c r="AC52" s="93"/>
      <c r="AD52" s="327"/>
      <c r="AE52" s="94"/>
      <c r="AF52" s="327"/>
      <c r="AG52" s="327"/>
      <c r="AH52" s="326"/>
      <c r="AI52" s="93"/>
    </row>
    <row r="53" spans="1:37" s="89" customFormat="1">
      <c r="A53" s="138">
        <v>45</v>
      </c>
      <c r="B53" s="89" t="s">
        <v>230</v>
      </c>
      <c r="C53" s="342">
        <v>72996</v>
      </c>
      <c r="D53" s="343">
        <v>68572</v>
      </c>
      <c r="E53" s="258">
        <v>23382</v>
      </c>
      <c r="F53" s="198">
        <f t="shared" si="14"/>
        <v>1.6131124197652148E-2</v>
      </c>
      <c r="G53" s="246">
        <v>23639</v>
      </c>
      <c r="H53" s="198">
        <f t="shared" si="15"/>
        <v>1.192180097415926E-2</v>
      </c>
      <c r="I53" s="342">
        <f t="shared" si="3"/>
        <v>47021</v>
      </c>
      <c r="J53" s="344">
        <f t="shared" si="5"/>
        <v>62863</v>
      </c>
      <c r="K53" s="200">
        <f t="shared" si="6"/>
        <v>1.3104001324095517E-2</v>
      </c>
      <c r="L53" s="92">
        <f t="shared" si="7"/>
        <v>11508</v>
      </c>
      <c r="M53" s="232">
        <f t="shared" si="8"/>
        <v>1500</v>
      </c>
      <c r="N53" s="232"/>
      <c r="O53" s="304">
        <f t="shared" si="9"/>
        <v>10008</v>
      </c>
      <c r="P53" s="134">
        <f t="shared" si="12"/>
        <v>2667</v>
      </c>
      <c r="Q53" s="94">
        <f t="shared" si="2"/>
        <v>132</v>
      </c>
      <c r="R53" s="204">
        <f t="shared" si="13"/>
        <v>1.3365735115431349E-2</v>
      </c>
      <c r="S53" s="91"/>
      <c r="T53" s="222">
        <v>10876</v>
      </c>
      <c r="U53" s="232">
        <v>1000</v>
      </c>
      <c r="V53" s="232"/>
      <c r="W53" s="223">
        <v>9876</v>
      </c>
      <c r="X53" s="285">
        <v>2494</v>
      </c>
      <c r="Z53" s="199"/>
      <c r="AA53" s="326"/>
      <c r="AB53" s="93"/>
      <c r="AC53" s="93"/>
      <c r="AD53" s="327"/>
      <c r="AE53" s="94"/>
      <c r="AF53" s="327"/>
      <c r="AG53" s="327"/>
      <c r="AH53" s="326"/>
      <c r="AI53" s="93"/>
    </row>
    <row r="54" spans="1:37" s="89" customFormat="1">
      <c r="A54" s="138">
        <v>46</v>
      </c>
      <c r="B54" s="89" t="s">
        <v>231</v>
      </c>
      <c r="C54" s="342">
        <v>47086</v>
      </c>
      <c r="D54" s="343">
        <v>44304</v>
      </c>
      <c r="E54" s="258">
        <v>14422</v>
      </c>
      <c r="F54" s="198">
        <f t="shared" si="14"/>
        <v>9.9496652629603669E-3</v>
      </c>
      <c r="G54" s="246">
        <v>13630</v>
      </c>
      <c r="H54" s="198">
        <f t="shared" si="15"/>
        <v>6.8739856710432218E-3</v>
      </c>
      <c r="I54" s="342">
        <f t="shared" si="3"/>
        <v>28052</v>
      </c>
      <c r="J54" s="344">
        <f t="shared" si="5"/>
        <v>39814</v>
      </c>
      <c r="K54" s="200">
        <f t="shared" si="6"/>
        <v>8.2993606528091058E-3</v>
      </c>
      <c r="L54" s="92">
        <f t="shared" si="7"/>
        <v>7288</v>
      </c>
      <c r="M54" s="232">
        <f t="shared" si="8"/>
        <v>1500</v>
      </c>
      <c r="N54" s="232"/>
      <c r="O54" s="304">
        <f t="shared" si="9"/>
        <v>5788</v>
      </c>
      <c r="P54" s="134">
        <f t="shared" si="12"/>
        <v>1689</v>
      </c>
      <c r="Q54" s="94">
        <f t="shared" si="2"/>
        <v>-239</v>
      </c>
      <c r="R54" s="204">
        <f t="shared" si="13"/>
        <v>-3.9654886344781815E-2</v>
      </c>
      <c r="S54" s="91"/>
      <c r="T54" s="222">
        <v>7027</v>
      </c>
      <c r="U54" s="232">
        <v>1000</v>
      </c>
      <c r="V54" s="232"/>
      <c r="W54" s="223">
        <v>6027</v>
      </c>
      <c r="X54" s="285">
        <v>1612</v>
      </c>
      <c r="Z54" s="199"/>
      <c r="AA54" s="326"/>
      <c r="AB54" s="93"/>
      <c r="AC54" s="93"/>
      <c r="AD54" s="327"/>
      <c r="AE54" s="94"/>
      <c r="AF54" s="327"/>
      <c r="AG54" s="327"/>
      <c r="AH54" s="326"/>
      <c r="AI54" s="93"/>
    </row>
    <row r="55" spans="1:37" s="89" customFormat="1">
      <c r="A55" s="138">
        <v>47</v>
      </c>
      <c r="B55" s="89" t="s">
        <v>180</v>
      </c>
      <c r="C55" s="342">
        <v>79157</v>
      </c>
      <c r="D55" s="343">
        <v>78912</v>
      </c>
      <c r="E55" s="258">
        <v>23105</v>
      </c>
      <c r="F55" s="198">
        <f t="shared" si="14"/>
        <v>1.5940023290854199E-2</v>
      </c>
      <c r="G55" s="246">
        <v>20321</v>
      </c>
      <c r="H55" s="198">
        <f t="shared" si="15"/>
        <v>1.0248441879770309E-2</v>
      </c>
      <c r="I55" s="342">
        <f t="shared" si="3"/>
        <v>43426</v>
      </c>
      <c r="J55" s="344">
        <f t="shared" si="5"/>
        <v>67165</v>
      </c>
      <c r="K55" s="200">
        <f t="shared" si="6"/>
        <v>1.4000767525139991E-2</v>
      </c>
      <c r="L55" s="92">
        <f t="shared" si="7"/>
        <v>12295</v>
      </c>
      <c r="M55" s="232">
        <f t="shared" si="8"/>
        <v>1500</v>
      </c>
      <c r="N55" s="232"/>
      <c r="O55" s="304">
        <f t="shared" si="9"/>
        <v>10795</v>
      </c>
      <c r="P55" s="134">
        <f t="shared" si="12"/>
        <v>2850</v>
      </c>
      <c r="Q55" s="94">
        <f t="shared" si="2"/>
        <v>-721</v>
      </c>
      <c r="R55" s="204">
        <f t="shared" si="13"/>
        <v>-6.2608544633553323E-2</v>
      </c>
      <c r="S55" s="91"/>
      <c r="T55" s="222">
        <v>12516</v>
      </c>
      <c r="U55" s="232">
        <v>1000</v>
      </c>
      <c r="V55" s="232"/>
      <c r="W55" s="223">
        <v>11516</v>
      </c>
      <c r="X55" s="285">
        <v>2870</v>
      </c>
      <c r="Z55" s="199"/>
      <c r="AA55" s="326"/>
      <c r="AB55" s="93"/>
      <c r="AC55" s="93"/>
      <c r="AD55" s="327"/>
      <c r="AE55" s="94"/>
      <c r="AF55" s="327"/>
      <c r="AG55" s="327"/>
      <c r="AH55" s="326"/>
      <c r="AI55" s="93"/>
    </row>
    <row r="56" spans="1:37" s="89" customFormat="1">
      <c r="A56" s="138">
        <v>48</v>
      </c>
      <c r="B56" s="146" t="s">
        <v>232</v>
      </c>
      <c r="C56" s="342">
        <v>63333</v>
      </c>
      <c r="D56" s="343">
        <v>51659</v>
      </c>
      <c r="E56" s="258">
        <v>18487</v>
      </c>
      <c r="F56" s="198">
        <f t="shared" si="14"/>
        <v>1.2754088317594529E-2</v>
      </c>
      <c r="G56" s="246">
        <v>20091</v>
      </c>
      <c r="H56" s="198">
        <f t="shared" si="15"/>
        <v>1.0132446523619176E-2</v>
      </c>
      <c r="I56" s="342">
        <f t="shared" si="3"/>
        <v>38578</v>
      </c>
      <c r="J56" s="344">
        <f t="shared" si="5"/>
        <v>51190</v>
      </c>
      <c r="K56" s="200">
        <f t="shared" si="6"/>
        <v>1.067072566979701E-2</v>
      </c>
      <c r="L56" s="92">
        <f t="shared" si="7"/>
        <v>9371</v>
      </c>
      <c r="M56" s="232">
        <f t="shared" si="8"/>
        <v>1500</v>
      </c>
      <c r="N56" s="232"/>
      <c r="O56" s="304">
        <f t="shared" si="9"/>
        <v>7871</v>
      </c>
      <c r="P56" s="134">
        <f t="shared" si="12"/>
        <v>2172</v>
      </c>
      <c r="Q56" s="94">
        <f t="shared" si="2"/>
        <v>678</v>
      </c>
      <c r="R56" s="204">
        <f t="shared" si="13"/>
        <v>9.4258306687056856E-2</v>
      </c>
      <c r="S56" s="91"/>
      <c r="T56" s="222">
        <v>8193</v>
      </c>
      <c r="U56" s="232">
        <v>1000</v>
      </c>
      <c r="V56" s="232"/>
      <c r="W56" s="223">
        <v>7193</v>
      </c>
      <c r="X56" s="285">
        <v>1879</v>
      </c>
      <c r="Z56" s="199"/>
      <c r="AA56" s="326"/>
      <c r="AB56" s="93"/>
      <c r="AC56" s="93"/>
      <c r="AD56" s="327"/>
      <c r="AE56" s="94"/>
      <c r="AF56" s="327"/>
      <c r="AG56" s="327"/>
      <c r="AH56" s="326"/>
      <c r="AI56" s="93"/>
    </row>
    <row r="57" spans="1:37" s="89" customFormat="1">
      <c r="A57" s="138">
        <v>49</v>
      </c>
      <c r="B57" s="146" t="s">
        <v>233</v>
      </c>
      <c r="C57" s="342">
        <v>37142</v>
      </c>
      <c r="D57" s="343">
        <v>35752</v>
      </c>
      <c r="E57" s="258">
        <v>12564</v>
      </c>
      <c r="F57" s="198">
        <f t="shared" si="14"/>
        <v>8.6678404079762895E-3</v>
      </c>
      <c r="G57" s="246">
        <v>11316</v>
      </c>
      <c r="H57" s="198">
        <f t="shared" si="15"/>
        <v>5.7069715226357376E-3</v>
      </c>
      <c r="I57" s="342">
        <f t="shared" si="3"/>
        <v>23880</v>
      </c>
      <c r="J57" s="344">
        <f t="shared" si="5"/>
        <v>32258</v>
      </c>
      <c r="K57" s="200">
        <f t="shared" si="6"/>
        <v>6.7242873345636249E-3</v>
      </c>
      <c r="L57" s="92">
        <f t="shared" si="7"/>
        <v>5905</v>
      </c>
      <c r="M57" s="232">
        <f t="shared" si="8"/>
        <v>1500</v>
      </c>
      <c r="N57" s="232"/>
      <c r="O57" s="304">
        <f t="shared" si="9"/>
        <v>4405</v>
      </c>
      <c r="P57" s="134">
        <f t="shared" si="12"/>
        <v>1369</v>
      </c>
      <c r="Q57" s="94">
        <f t="shared" si="2"/>
        <v>-265</v>
      </c>
      <c r="R57" s="204">
        <f t="shared" si="13"/>
        <v>-5.6745182012847964E-2</v>
      </c>
      <c r="S57" s="91"/>
      <c r="T57" s="222">
        <v>5670</v>
      </c>
      <c r="U57" s="232">
        <v>1000</v>
      </c>
      <c r="V57" s="232"/>
      <c r="W57" s="223">
        <v>4670</v>
      </c>
      <c r="X57" s="285">
        <v>1300</v>
      </c>
      <c r="Z57" s="199"/>
      <c r="AA57" s="326"/>
      <c r="AB57" s="93"/>
      <c r="AC57" s="93"/>
      <c r="AD57" s="327"/>
      <c r="AE57" s="94"/>
      <c r="AF57" s="327"/>
      <c r="AG57" s="327"/>
      <c r="AH57" s="326"/>
      <c r="AI57" s="93"/>
    </row>
    <row r="58" spans="1:37" s="89" customFormat="1" ht="15" customHeight="1" thickBot="1">
      <c r="A58" s="138">
        <v>50</v>
      </c>
      <c r="B58" s="89" t="s">
        <v>181</v>
      </c>
      <c r="C58" s="342">
        <v>43943</v>
      </c>
      <c r="D58" s="343">
        <v>42161</v>
      </c>
      <c r="E58" s="258">
        <v>15399</v>
      </c>
      <c r="F58" s="198">
        <f t="shared" si="14"/>
        <v>1.0623692649031111E-2</v>
      </c>
      <c r="G58" s="246">
        <v>15011</v>
      </c>
      <c r="H58" s="198">
        <f t="shared" si="15"/>
        <v>7.5704621355854587E-3</v>
      </c>
      <c r="I58" s="342">
        <f t="shared" si="3"/>
        <v>30410</v>
      </c>
      <c r="J58" s="344">
        <f t="shared" si="5"/>
        <v>38838</v>
      </c>
      <c r="K58" s="200">
        <f t="shared" si="6"/>
        <v>8.095910208313661E-3</v>
      </c>
      <c r="L58" s="92">
        <f t="shared" si="7"/>
        <v>7110</v>
      </c>
      <c r="M58" s="232">
        <f t="shared" si="8"/>
        <v>1500</v>
      </c>
      <c r="N58" s="335"/>
      <c r="O58" s="336">
        <f t="shared" si="9"/>
        <v>5610</v>
      </c>
      <c r="P58" s="337">
        <f t="shared" si="12"/>
        <v>1648</v>
      </c>
      <c r="Q58" s="328">
        <f t="shared" si="2"/>
        <v>-77</v>
      </c>
      <c r="R58" s="338">
        <f t="shared" si="13"/>
        <v>-1.3539651837524178E-2</v>
      </c>
      <c r="S58" s="91"/>
      <c r="T58" s="222">
        <v>6687</v>
      </c>
      <c r="U58" s="232">
        <v>1000</v>
      </c>
      <c r="V58" s="232"/>
      <c r="W58" s="223">
        <v>5687</v>
      </c>
      <c r="X58" s="285">
        <v>1534</v>
      </c>
      <c r="Z58" s="199"/>
      <c r="AA58" s="326"/>
      <c r="AB58" s="93"/>
      <c r="AC58" s="93"/>
      <c r="AD58" s="327"/>
      <c r="AE58" s="328"/>
      <c r="AF58" s="327"/>
      <c r="AG58" s="327"/>
      <c r="AH58" s="326"/>
      <c r="AI58" s="93"/>
    </row>
    <row r="59" spans="1:37" s="87" customFormat="1" ht="19.5" customHeight="1" thickBot="1">
      <c r="B59" s="95" t="s">
        <v>234</v>
      </c>
      <c r="C59" s="96">
        <v>5591878</v>
      </c>
      <c r="D59" s="96">
        <v>5338044</v>
      </c>
      <c r="E59" s="96">
        <f t="shared" ref="E59:K59" si="16">SUM(E9:E58)</f>
        <v>1449496</v>
      </c>
      <c r="F59" s="97">
        <f t="shared" si="16"/>
        <v>0.99999999999999989</v>
      </c>
      <c r="G59" s="96">
        <f t="shared" si="16"/>
        <v>1982838</v>
      </c>
      <c r="H59" s="97">
        <f t="shared" si="16"/>
        <v>1.0000000000000002</v>
      </c>
      <c r="I59" s="96">
        <f t="shared" si="16"/>
        <v>3432334</v>
      </c>
      <c r="J59" s="96">
        <f t="shared" si="16"/>
        <v>4797237</v>
      </c>
      <c r="K59" s="97">
        <f t="shared" si="16"/>
        <v>0.99999999999999989</v>
      </c>
      <c r="L59" s="98">
        <f t="shared" ref="L59:Q59" si="17">SUM(L9:L58)</f>
        <v>878183</v>
      </c>
      <c r="M59" s="99">
        <f t="shared" si="17"/>
        <v>74748.5</v>
      </c>
      <c r="N59" s="99">
        <f t="shared" si="17"/>
        <v>20000</v>
      </c>
      <c r="O59" s="158">
        <f t="shared" si="17"/>
        <v>783434.5</v>
      </c>
      <c r="P59" s="135">
        <f t="shared" si="17"/>
        <v>203543</v>
      </c>
      <c r="Q59" s="99">
        <f t="shared" si="17"/>
        <v>4454.5000000000146</v>
      </c>
      <c r="R59" s="100">
        <f t="shared" si="13"/>
        <v>7.4617556890664441E-3</v>
      </c>
      <c r="T59" s="174">
        <f>SUM(T9:T58)</f>
        <v>846632</v>
      </c>
      <c r="U59" s="101">
        <f>SUM(U9:U58)</f>
        <v>49000</v>
      </c>
      <c r="V59" s="101"/>
      <c r="W59" s="101">
        <f>SUM(W9:W58)</f>
        <v>777631.99999999988</v>
      </c>
      <c r="X59" s="175">
        <f>SUM(X9:X58)</f>
        <v>194166</v>
      </c>
      <c r="Z59" s="245"/>
      <c r="AA59" s="245"/>
      <c r="AB59" s="350"/>
      <c r="AC59" s="350"/>
      <c r="AD59" s="349"/>
      <c r="AE59" s="351"/>
      <c r="AF59" s="349"/>
      <c r="AG59" s="349"/>
      <c r="AH59" s="349"/>
      <c r="AI59" s="245"/>
      <c r="AJ59" s="349"/>
      <c r="AK59" s="349"/>
    </row>
    <row r="60" spans="1:37">
      <c r="L60" s="102"/>
      <c r="M60" s="103"/>
      <c r="N60" s="103"/>
      <c r="O60" s="103"/>
      <c r="P60" s="103"/>
      <c r="Q60" s="103"/>
      <c r="R60" s="104"/>
      <c r="T60" s="105"/>
      <c r="U60" s="106"/>
      <c r="V60" s="106"/>
      <c r="W60" s="106"/>
      <c r="X60" s="107"/>
      <c r="Z60" s="89"/>
      <c r="AA60" s="89"/>
      <c r="AB60" s="93"/>
      <c r="AC60" s="89"/>
      <c r="AD60" s="89"/>
      <c r="AE60" s="89"/>
      <c r="AF60" s="89"/>
      <c r="AG60" s="89"/>
      <c r="AH60" s="89"/>
      <c r="AI60" s="352"/>
      <c r="AJ60" s="146"/>
      <c r="AK60" s="89"/>
    </row>
    <row r="61" spans="1:37" ht="13.5" thickBot="1">
      <c r="E61" s="108"/>
      <c r="F61" s="108"/>
      <c r="G61" s="108"/>
      <c r="H61" s="108"/>
      <c r="I61" s="108"/>
      <c r="J61" s="108"/>
      <c r="K61" s="109"/>
      <c r="L61" s="112"/>
      <c r="M61" s="113"/>
      <c r="N61" s="113"/>
      <c r="O61" s="114"/>
      <c r="P61" s="114"/>
      <c r="Q61" s="114"/>
      <c r="R61" s="115"/>
      <c r="T61" s="116"/>
      <c r="U61" s="117"/>
      <c r="V61" s="117"/>
      <c r="W61" s="173"/>
      <c r="X61" s="115"/>
      <c r="Z61" s="89"/>
      <c r="AA61" s="89"/>
      <c r="AB61" s="323"/>
      <c r="AC61" s="89"/>
      <c r="AD61" s="89"/>
      <c r="AE61" s="89"/>
      <c r="AF61" s="89"/>
      <c r="AG61" s="89"/>
      <c r="AH61" s="89"/>
      <c r="AI61" s="89"/>
      <c r="AJ61" s="89"/>
      <c r="AK61" s="89"/>
    </row>
    <row r="62" spans="1:37">
      <c r="E62" s="110"/>
      <c r="F62" s="110"/>
      <c r="G62" s="110"/>
      <c r="H62" s="110"/>
      <c r="I62" s="110"/>
      <c r="J62" s="110"/>
      <c r="K62" s="111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</row>
    <row r="63" spans="1:37">
      <c r="L63" s="106"/>
      <c r="M63" s="106"/>
      <c r="N63" s="106"/>
      <c r="O63" s="106"/>
      <c r="P63" s="106"/>
      <c r="Q63" s="106"/>
      <c r="R63" s="106"/>
    </row>
    <row r="64" spans="1:37">
      <c r="I64" s="118"/>
      <c r="J64" s="118"/>
    </row>
    <row r="65" spans="2:11">
      <c r="B65" s="83"/>
      <c r="C65" s="83"/>
      <c r="D65" s="83"/>
      <c r="G65" s="83"/>
      <c r="I65" s="83" t="s">
        <v>325</v>
      </c>
    </row>
    <row r="66" spans="2:11" ht="19.5" customHeight="1">
      <c r="B66" s="297"/>
      <c r="C66" s="297"/>
      <c r="D66" s="297"/>
      <c r="G66" s="297"/>
      <c r="I66" s="297" t="s">
        <v>168</v>
      </c>
      <c r="J66" s="300">
        <f>J28</f>
        <v>853291</v>
      </c>
      <c r="K66" s="303">
        <f>J66/$J$69</f>
        <v>0.57526877733364523</v>
      </c>
    </row>
    <row r="67" spans="2:11">
      <c r="B67" s="297"/>
      <c r="C67" s="297"/>
      <c r="D67" s="297"/>
      <c r="G67" s="297"/>
      <c r="I67" s="297" t="s">
        <v>167</v>
      </c>
      <c r="J67" s="300">
        <f>J22</f>
        <v>311178</v>
      </c>
      <c r="K67" s="303">
        <f t="shared" ref="K67:K68" si="18">J67/$J$69</f>
        <v>0.20978890858233482</v>
      </c>
    </row>
    <row r="68" spans="2:11" ht="13.5" thickBot="1">
      <c r="B68" s="297"/>
      <c r="C68" s="297"/>
      <c r="D68" s="297"/>
      <c r="G68" s="297"/>
      <c r="I68" s="297" t="s">
        <v>178</v>
      </c>
      <c r="J68" s="300">
        <f>J50</f>
        <v>318822</v>
      </c>
      <c r="K68" s="303">
        <f t="shared" si="18"/>
        <v>0.21494231408401993</v>
      </c>
    </row>
    <row r="69" spans="2:11" ht="21" customHeight="1" thickBot="1">
      <c r="B69" s="297"/>
      <c r="C69" s="297"/>
      <c r="D69" s="297"/>
      <c r="G69" s="297"/>
      <c r="I69" s="297" t="s">
        <v>159</v>
      </c>
      <c r="J69" s="301">
        <f>SUM(J66:J68)</f>
        <v>1483291</v>
      </c>
      <c r="K69" s="302">
        <f>SUM(K66:K68)</f>
        <v>1</v>
      </c>
    </row>
  </sheetData>
  <mergeCells count="3">
    <mergeCell ref="L6:R6"/>
    <mergeCell ref="L7:R7"/>
    <mergeCell ref="T7:X7"/>
  </mergeCells>
  <phoneticPr fontId="9" type="noConversion"/>
  <conditionalFormatting sqref="AF9:AF58">
    <cfRule type="cellIs" dxfId="2" priority="2" operator="lessThan">
      <formula>$AF$6</formula>
    </cfRule>
    <cfRule type="cellIs" dxfId="1" priority="3" operator="greaterThan">
      <formula>$AF$6</formula>
    </cfRule>
  </conditionalFormatting>
  <conditionalFormatting sqref="AG9:AG58">
    <cfRule type="cellIs" dxfId="0" priority="1" operator="greaterThan">
      <formula>0</formula>
    </cfRule>
  </conditionalFormatting>
  <printOptions horizontalCentered="1" gridLines="1"/>
  <pageMargins left="0.2" right="0.2" top="0.52" bottom="0.41" header="0.23" footer="0.17"/>
  <pageSetup scale="57" orientation="landscape" r:id="rId1"/>
  <headerFooter>
    <oddHeader>&amp;C2022 Recommended MORE Budget&amp;R&amp;D</oddHeader>
    <oddFooter>&amp;C&amp;A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5"/>
    <pageSetUpPr fitToPage="1"/>
  </sheetPr>
  <dimension ref="A1:T30"/>
  <sheetViews>
    <sheetView zoomScale="85" zoomScaleNormal="85" zoomScalePageLayoutView="85" workbookViewId="0"/>
  </sheetViews>
  <sheetFormatPr defaultColWidth="8.75" defaultRowHeight="14.25"/>
  <cols>
    <col min="1" max="1" width="32.75" customWidth="1"/>
    <col min="2" max="2" width="10.125" customWidth="1"/>
    <col min="3" max="8" width="9.375" customWidth="1"/>
    <col min="9" max="9" width="9.75" bestFit="1" customWidth="1"/>
    <col min="10" max="10" width="9.25" bestFit="1" customWidth="1"/>
    <col min="11" max="13" width="9" customWidth="1"/>
    <col min="14" max="14" width="9" style="240" customWidth="1"/>
    <col min="15" max="15" width="9.375" customWidth="1"/>
    <col min="16" max="17" width="11" customWidth="1"/>
    <col min="18" max="20" width="0" hidden="1" customWidth="1"/>
  </cols>
  <sheetData>
    <row r="1" spans="1:20">
      <c r="A1" s="28" t="s">
        <v>235</v>
      </c>
      <c r="B1" s="206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20">
      <c r="A2" s="28" t="s">
        <v>236</v>
      </c>
      <c r="B2" s="206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0">
      <c r="A3" s="30">
        <v>44358</v>
      </c>
      <c r="B3" s="206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20">
      <c r="A4" s="31"/>
      <c r="B4" s="32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0" ht="15" thickBot="1">
      <c r="A5" s="29"/>
      <c r="B5" s="33"/>
      <c r="C5" s="365"/>
      <c r="D5" s="365"/>
      <c r="E5" s="365"/>
      <c r="F5" s="365"/>
      <c r="G5" s="177"/>
      <c r="H5" s="177"/>
      <c r="I5" s="365"/>
      <c r="J5" s="365"/>
      <c r="K5" s="34"/>
      <c r="L5" s="34"/>
      <c r="M5" s="34"/>
      <c r="N5" s="34"/>
      <c r="O5" s="29"/>
    </row>
    <row r="6" spans="1:20" ht="36" customHeight="1" thickBot="1">
      <c r="A6" s="29"/>
      <c r="B6" s="35" t="s">
        <v>237</v>
      </c>
      <c r="C6" s="36" t="s">
        <v>238</v>
      </c>
      <c r="D6" s="37">
        <v>2001</v>
      </c>
      <c r="E6" s="37">
        <v>2002</v>
      </c>
      <c r="F6" s="37">
        <v>2003</v>
      </c>
      <c r="G6" s="38" t="s">
        <v>239</v>
      </c>
      <c r="H6" s="38" t="s">
        <v>240</v>
      </c>
      <c r="I6" s="37">
        <v>2004</v>
      </c>
      <c r="J6" s="37" t="s">
        <v>241</v>
      </c>
      <c r="K6" s="39">
        <v>2011</v>
      </c>
      <c r="L6" s="39">
        <v>2012</v>
      </c>
      <c r="M6" s="39" t="s">
        <v>242</v>
      </c>
      <c r="N6" s="35" t="s">
        <v>337</v>
      </c>
      <c r="O6" s="40" t="s">
        <v>300</v>
      </c>
      <c r="P6" s="177"/>
      <c r="Q6" s="177"/>
      <c r="R6" s="177"/>
      <c r="S6" s="177"/>
      <c r="T6" s="41"/>
    </row>
    <row r="7" spans="1:20">
      <c r="A7" s="42" t="s">
        <v>243</v>
      </c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29"/>
      <c r="P7" s="44"/>
      <c r="Q7" s="44"/>
      <c r="R7" s="44"/>
      <c r="S7" s="44"/>
      <c r="T7" s="44">
        <v>0</v>
      </c>
    </row>
    <row r="8" spans="1:20">
      <c r="A8" s="28" t="s">
        <v>244</v>
      </c>
      <c r="B8" s="43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>
        <v>24000</v>
      </c>
      <c r="N8" s="234"/>
      <c r="O8" s="46">
        <f>SUM(C8:N8)</f>
        <v>24000</v>
      </c>
      <c r="P8" s="207"/>
      <c r="Q8" s="207"/>
      <c r="R8" s="207"/>
      <c r="S8" s="207"/>
      <c r="T8" s="44"/>
    </row>
    <row r="9" spans="1:20">
      <c r="A9" s="29" t="s">
        <v>245</v>
      </c>
      <c r="B9" s="208">
        <v>54000</v>
      </c>
      <c r="C9" s="45">
        <f>$B$9/4</f>
        <v>13500</v>
      </c>
      <c r="D9" s="45">
        <f>$B$9/4</f>
        <v>13500</v>
      </c>
      <c r="E9" s="45">
        <f>$B$9/4</f>
        <v>13500</v>
      </c>
      <c r="F9" s="45">
        <v>13500</v>
      </c>
      <c r="G9" s="45">
        <v>-18507</v>
      </c>
      <c r="H9" s="45">
        <v>18507</v>
      </c>
      <c r="I9" s="29"/>
      <c r="J9" s="209">
        <v>11000</v>
      </c>
      <c r="K9" s="129"/>
      <c r="L9" s="129"/>
      <c r="M9" s="129">
        <v>-65000</v>
      </c>
      <c r="N9" s="227"/>
      <c r="O9" s="46">
        <f>SUM(C9:N9)</f>
        <v>0</v>
      </c>
      <c r="P9" s="47"/>
      <c r="Q9" s="44"/>
      <c r="R9" s="44"/>
      <c r="S9" s="44"/>
      <c r="T9" s="47"/>
    </row>
    <row r="10" spans="1:20">
      <c r="A10" s="29" t="s">
        <v>246</v>
      </c>
      <c r="B10" s="208">
        <v>28000</v>
      </c>
      <c r="C10" s="45">
        <f>$B$10/4</f>
        <v>7000</v>
      </c>
      <c r="D10" s="45">
        <f>$B$10/4</f>
        <v>7000</v>
      </c>
      <c r="E10" s="45">
        <f>$B$10/4</f>
        <v>7000</v>
      </c>
      <c r="F10" s="45">
        <f>$B$10/4</f>
        <v>7000</v>
      </c>
      <c r="G10" s="45"/>
      <c r="H10" s="45"/>
      <c r="I10" s="29"/>
      <c r="J10" s="29">
        <v>-3000</v>
      </c>
      <c r="K10" s="129"/>
      <c r="L10" s="129"/>
      <c r="M10" s="129">
        <v>-25000</v>
      </c>
      <c r="N10" s="227"/>
      <c r="O10" s="46">
        <f>SUM(C10:N10)</f>
        <v>0</v>
      </c>
      <c r="P10" s="47"/>
      <c r="Q10" s="44"/>
      <c r="R10" s="44"/>
      <c r="S10" s="44"/>
      <c r="T10" s="47"/>
    </row>
    <row r="11" spans="1:20">
      <c r="A11" s="29"/>
      <c r="B11" s="33"/>
      <c r="C11" s="47"/>
      <c r="D11" s="29"/>
      <c r="E11" s="29"/>
      <c r="F11" s="29"/>
      <c r="G11" s="29"/>
      <c r="H11" s="29"/>
      <c r="I11" s="29"/>
      <c r="J11" s="29"/>
      <c r="K11" s="129"/>
      <c r="L11" s="129"/>
      <c r="M11" s="129"/>
      <c r="N11" s="227"/>
      <c r="O11" s="29"/>
      <c r="P11" s="44"/>
      <c r="Q11" s="44"/>
      <c r="R11" s="44"/>
      <c r="S11" s="44"/>
      <c r="T11" s="44"/>
    </row>
    <row r="12" spans="1:20">
      <c r="A12" s="29"/>
      <c r="B12" s="33"/>
      <c r="C12" s="47"/>
      <c r="D12" s="29"/>
      <c r="E12" s="29"/>
      <c r="F12" s="29"/>
      <c r="G12" s="29"/>
      <c r="H12" s="29"/>
      <c r="I12" s="29"/>
      <c r="J12" s="29"/>
      <c r="K12" s="129"/>
      <c r="L12" s="129"/>
      <c r="M12" s="129"/>
      <c r="N12" s="227"/>
      <c r="O12" s="29"/>
      <c r="P12" s="44"/>
      <c r="Q12" s="44"/>
      <c r="R12" s="44"/>
      <c r="S12" s="44"/>
      <c r="T12" s="44"/>
    </row>
    <row r="13" spans="1:20">
      <c r="A13" s="29"/>
      <c r="B13" s="33"/>
      <c r="C13" s="29"/>
      <c r="D13" s="29"/>
      <c r="E13" s="29"/>
      <c r="F13" s="29"/>
      <c r="G13" s="29"/>
      <c r="H13" s="29"/>
      <c r="I13" s="29"/>
      <c r="J13" s="29"/>
      <c r="K13" s="129"/>
      <c r="L13" s="129"/>
      <c r="M13" s="129"/>
      <c r="N13" s="227"/>
      <c r="O13" s="29"/>
      <c r="P13" s="44"/>
      <c r="Q13" s="44"/>
      <c r="R13" s="44"/>
      <c r="S13" s="44"/>
      <c r="T13" s="44"/>
    </row>
    <row r="14" spans="1:20">
      <c r="A14" s="28" t="s">
        <v>247</v>
      </c>
      <c r="B14" s="33"/>
      <c r="C14" s="29"/>
      <c r="D14" s="29"/>
      <c r="E14" s="29"/>
      <c r="F14" s="29"/>
      <c r="G14" s="29"/>
      <c r="H14" s="29"/>
      <c r="I14" s="29"/>
      <c r="J14" s="29"/>
      <c r="K14" s="129"/>
      <c r="L14" s="129"/>
      <c r="M14" s="129"/>
      <c r="N14" s="227"/>
      <c r="O14" s="29"/>
      <c r="P14" s="44"/>
      <c r="Q14" s="44"/>
      <c r="R14" s="44"/>
      <c r="S14" s="44"/>
      <c r="T14" s="44"/>
    </row>
    <row r="15" spans="1:20">
      <c r="A15" s="29" t="s">
        <v>248</v>
      </c>
      <c r="B15" s="208">
        <v>260000</v>
      </c>
      <c r="C15" s="129">
        <f>$B$15/10</f>
        <v>26000</v>
      </c>
      <c r="D15" s="129">
        <f>$B$15/10</f>
        <v>26000</v>
      </c>
      <c r="E15" s="129">
        <f>$B$15/10</f>
        <v>26000</v>
      </c>
      <c r="F15" s="129">
        <f>$B$15/10</f>
        <v>26000</v>
      </c>
      <c r="G15" s="129"/>
      <c r="H15" s="129"/>
      <c r="I15" s="129">
        <v>26000</v>
      </c>
      <c r="J15" s="29">
        <v>0</v>
      </c>
      <c r="K15" s="129">
        <v>-19683</v>
      </c>
      <c r="L15" s="129">
        <v>-85292</v>
      </c>
      <c r="M15" s="129">
        <v>94975</v>
      </c>
      <c r="N15" s="227"/>
      <c r="O15" s="46">
        <f>SUM(C15:N15)</f>
        <v>120000</v>
      </c>
      <c r="P15" s="205"/>
      <c r="Q15" s="44"/>
      <c r="R15" s="44"/>
      <c r="S15" s="44"/>
      <c r="T15" s="47"/>
    </row>
    <row r="16" spans="1:20">
      <c r="A16" s="29"/>
      <c r="B16" s="33"/>
      <c r="C16" s="29"/>
      <c r="D16" s="29"/>
      <c r="E16" s="29"/>
      <c r="F16" s="29"/>
      <c r="G16" s="29"/>
      <c r="H16" s="29"/>
      <c r="I16" s="29"/>
      <c r="J16" s="29"/>
      <c r="K16" s="129"/>
      <c r="L16" s="129"/>
      <c r="M16" s="129"/>
      <c r="N16" s="227"/>
      <c r="O16" s="29"/>
      <c r="P16" s="44"/>
      <c r="Q16" s="44"/>
      <c r="R16" s="44"/>
      <c r="S16" s="44"/>
      <c r="T16" s="44"/>
    </row>
    <row r="17" spans="1:20">
      <c r="A17" s="29"/>
      <c r="B17" s="33"/>
      <c r="C17" s="29"/>
      <c r="D17" s="29"/>
      <c r="E17" s="29"/>
      <c r="F17" s="29"/>
      <c r="G17" s="29"/>
      <c r="H17" s="29"/>
      <c r="I17" s="29"/>
      <c r="J17" s="29"/>
      <c r="K17" s="129"/>
      <c r="L17" s="129"/>
      <c r="M17" s="129"/>
      <c r="N17" s="227"/>
      <c r="O17" s="29"/>
      <c r="P17" s="44"/>
      <c r="Q17" s="44"/>
      <c r="R17" s="44"/>
      <c r="S17" s="44"/>
      <c r="T17" s="44"/>
    </row>
    <row r="18" spans="1:20">
      <c r="A18" s="29"/>
      <c r="B18" s="33"/>
      <c r="C18" s="29"/>
      <c r="D18" s="29"/>
      <c r="E18" s="29"/>
      <c r="F18" s="29"/>
      <c r="G18" s="29"/>
      <c r="H18" s="29"/>
      <c r="I18" s="29"/>
      <c r="J18" s="29"/>
      <c r="K18" s="129"/>
      <c r="L18" s="129"/>
      <c r="M18" s="129"/>
      <c r="N18" s="227"/>
      <c r="O18" s="29"/>
      <c r="P18" s="44"/>
      <c r="Q18" s="44"/>
      <c r="R18" s="44"/>
      <c r="S18" s="44"/>
      <c r="T18" s="44"/>
    </row>
    <row r="19" spans="1:20">
      <c r="A19" s="28" t="s">
        <v>249</v>
      </c>
      <c r="B19" s="33"/>
      <c r="C19" s="29"/>
      <c r="D19" s="29"/>
      <c r="E19" s="29"/>
      <c r="F19" s="29"/>
      <c r="G19" s="29"/>
      <c r="H19" s="29"/>
      <c r="I19" s="29"/>
      <c r="J19" s="29"/>
      <c r="K19" s="129"/>
      <c r="L19" s="129"/>
      <c r="M19" s="129"/>
      <c r="N19" s="227"/>
      <c r="O19" s="29"/>
      <c r="P19" s="44"/>
      <c r="Q19" s="44"/>
      <c r="R19" s="44"/>
      <c r="S19" s="44"/>
      <c r="T19" s="44"/>
    </row>
    <row r="20" spans="1:20">
      <c r="A20" s="29" t="s">
        <v>250</v>
      </c>
      <c r="B20" s="208">
        <v>30000</v>
      </c>
      <c r="C20" s="129">
        <f>$B$20/4</f>
        <v>7500</v>
      </c>
      <c r="D20" s="129">
        <f>$B$20/4</f>
        <v>7500</v>
      </c>
      <c r="E20" s="129">
        <f>$B$20/4</f>
        <v>7500</v>
      </c>
      <c r="F20" s="129">
        <v>7500</v>
      </c>
      <c r="G20" s="129">
        <v>-21000</v>
      </c>
      <c r="H20" s="129">
        <v>21000</v>
      </c>
      <c r="I20" s="29"/>
      <c r="J20" s="29">
        <v>-5000</v>
      </c>
      <c r="K20" s="129"/>
      <c r="L20" s="129"/>
      <c r="M20" s="129"/>
      <c r="N20" s="227"/>
      <c r="O20" s="46">
        <f>SUM(C20:N20)</f>
        <v>25000</v>
      </c>
      <c r="P20" s="205"/>
      <c r="Q20" s="44"/>
      <c r="R20" s="44"/>
      <c r="S20" s="44"/>
      <c r="T20" s="47"/>
    </row>
    <row r="21" spans="1:20">
      <c r="A21" s="29" t="s">
        <v>251</v>
      </c>
      <c r="B21" s="208">
        <v>30000</v>
      </c>
      <c r="C21" s="129">
        <f>$B$21/4</f>
        <v>7500</v>
      </c>
      <c r="D21" s="129">
        <f>$B$21/4</f>
        <v>7500</v>
      </c>
      <c r="E21" s="129">
        <f>$B$21/4</f>
        <v>7500</v>
      </c>
      <c r="F21" s="129">
        <f>$B$21/4</f>
        <v>7500</v>
      </c>
      <c r="G21" s="129"/>
      <c r="H21" s="129"/>
      <c r="I21" s="29"/>
      <c r="J21" s="29"/>
      <c r="K21" s="129"/>
      <c r="L21" s="129"/>
      <c r="O21" s="46">
        <f>SUM(C21:N21)</f>
        <v>30000</v>
      </c>
      <c r="P21" s="205"/>
      <c r="Q21" s="44"/>
      <c r="R21" s="44"/>
      <c r="S21" s="44"/>
      <c r="T21" s="47"/>
    </row>
    <row r="22" spans="1:20">
      <c r="A22" s="29"/>
      <c r="B22" s="33"/>
      <c r="C22" s="29"/>
      <c r="D22" s="29"/>
      <c r="E22" s="29"/>
      <c r="F22" s="29"/>
      <c r="G22" s="29"/>
      <c r="H22" s="29"/>
      <c r="I22" s="29"/>
      <c r="J22" s="29"/>
      <c r="K22" s="129"/>
      <c r="L22" s="129"/>
      <c r="M22" s="129"/>
      <c r="N22" s="227"/>
      <c r="O22" s="29"/>
      <c r="P22" s="44"/>
      <c r="Q22" s="44"/>
      <c r="R22" s="44"/>
      <c r="S22" s="44"/>
      <c r="T22" s="44"/>
    </row>
    <row r="23" spans="1:20">
      <c r="A23" s="29"/>
      <c r="B23" s="33"/>
      <c r="C23" s="29"/>
      <c r="D23" s="29"/>
      <c r="E23" s="29"/>
      <c r="F23" s="29"/>
      <c r="G23" s="29"/>
      <c r="H23" s="29"/>
      <c r="I23" s="29"/>
      <c r="J23" s="29"/>
      <c r="K23" s="129"/>
      <c r="L23" s="129"/>
      <c r="M23" s="129"/>
      <c r="N23" s="227"/>
      <c r="O23" s="29"/>
      <c r="P23" s="44"/>
      <c r="Q23" s="44"/>
      <c r="R23" s="44"/>
      <c r="S23" s="44"/>
      <c r="T23" s="44"/>
    </row>
    <row r="24" spans="1:20">
      <c r="A24" s="29"/>
      <c r="B24" s="33"/>
      <c r="C24" s="29"/>
      <c r="D24" s="29"/>
      <c r="E24" s="29"/>
      <c r="F24" s="29"/>
      <c r="G24" s="29"/>
      <c r="H24" s="29"/>
      <c r="I24" s="29"/>
      <c r="J24" s="29"/>
      <c r="K24" s="129"/>
      <c r="L24" s="129"/>
      <c r="M24" s="129"/>
      <c r="N24" s="227"/>
      <c r="O24" s="29"/>
      <c r="P24" s="44"/>
      <c r="Q24" s="44"/>
      <c r="R24" s="44"/>
      <c r="S24" s="44"/>
      <c r="T24" s="44"/>
    </row>
    <row r="25" spans="1:20">
      <c r="A25" s="28" t="s">
        <v>252</v>
      </c>
      <c r="B25" s="210">
        <v>0.1</v>
      </c>
      <c r="C25" s="48">
        <f>SUM(C9:C21)*0.1</f>
        <v>6150</v>
      </c>
      <c r="D25" s="48">
        <f>SUM(D9:D21)*0.1</f>
        <v>6150</v>
      </c>
      <c r="E25" s="48">
        <f>SUM(E9:E21)*0.1</f>
        <v>6150</v>
      </c>
      <c r="F25" s="48">
        <f>SUM(F9:F21)*0.1</f>
        <v>6150</v>
      </c>
      <c r="G25" s="48"/>
      <c r="H25" s="48"/>
      <c r="I25" s="29">
        <v>3400</v>
      </c>
      <c r="J25" s="29">
        <v>-3000</v>
      </c>
      <c r="K25" s="129"/>
      <c r="L25" s="129"/>
      <c r="M25" s="129"/>
      <c r="N25" s="227"/>
      <c r="O25" s="46">
        <f>SUM(C25:N25)</f>
        <v>25000</v>
      </c>
      <c r="P25" s="49"/>
      <c r="Q25" s="44"/>
      <c r="R25" s="44"/>
      <c r="S25" s="44"/>
      <c r="T25" s="49"/>
    </row>
    <row r="26" spans="1:20">
      <c r="A26" s="29"/>
      <c r="B26" s="3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4"/>
      <c r="Q26" s="44"/>
      <c r="R26" s="44"/>
      <c r="S26" s="44"/>
      <c r="T26" s="44"/>
    </row>
    <row r="27" spans="1:20" ht="15" thickBot="1">
      <c r="A27" s="29"/>
      <c r="B27" s="33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44"/>
      <c r="Q27" s="44"/>
      <c r="R27" s="44"/>
      <c r="S27" s="44"/>
      <c r="T27" s="44"/>
    </row>
    <row r="28" spans="1:20" ht="15" thickBot="1">
      <c r="A28" s="28" t="s">
        <v>253</v>
      </c>
      <c r="B28" s="33"/>
      <c r="C28" s="211">
        <f t="shared" ref="C28:K28" si="0">SUM(C9:C27)</f>
        <v>67650</v>
      </c>
      <c r="D28" s="211">
        <f t="shared" si="0"/>
        <v>67650</v>
      </c>
      <c r="E28" s="211">
        <f t="shared" si="0"/>
        <v>67650</v>
      </c>
      <c r="F28" s="211">
        <f t="shared" si="0"/>
        <v>67650</v>
      </c>
      <c r="G28" s="211">
        <f t="shared" si="0"/>
        <v>-39507</v>
      </c>
      <c r="H28" s="211">
        <f t="shared" si="0"/>
        <v>39507</v>
      </c>
      <c r="I28" s="211">
        <f t="shared" si="0"/>
        <v>29400</v>
      </c>
      <c r="J28" s="211">
        <f t="shared" si="0"/>
        <v>0</v>
      </c>
      <c r="K28" s="211">
        <f t="shared" si="0"/>
        <v>-19683</v>
      </c>
      <c r="L28" s="211">
        <f>SUM(L9:L27)</f>
        <v>-85292</v>
      </c>
      <c r="M28" s="211">
        <f>SUM(M8:M27)</f>
        <v>28975</v>
      </c>
      <c r="N28" s="235">
        <f>SUM(N8:N27)</f>
        <v>0</v>
      </c>
      <c r="O28" s="211">
        <f>SUM(O8:O27)</f>
        <v>224000</v>
      </c>
      <c r="P28" s="207"/>
      <c r="Q28" s="207"/>
      <c r="R28" s="207"/>
      <c r="S28" s="207"/>
      <c r="T28" s="207"/>
    </row>
    <row r="29" spans="1:20" ht="15" thickBot="1">
      <c r="P29" s="27"/>
      <c r="Q29" s="27"/>
      <c r="R29" s="27"/>
      <c r="S29" s="27"/>
      <c r="T29" s="27"/>
    </row>
    <row r="30" spans="1:20" ht="15" thickBot="1">
      <c r="A30" s="50" t="s">
        <v>254</v>
      </c>
      <c r="C30" s="51">
        <f>C28</f>
        <v>67650</v>
      </c>
      <c r="D30" s="51">
        <f t="shared" ref="D30:K30" si="1">C30+D28</f>
        <v>135300</v>
      </c>
      <c r="E30" s="51">
        <f t="shared" si="1"/>
        <v>202950</v>
      </c>
      <c r="F30" s="51">
        <f t="shared" si="1"/>
        <v>270600</v>
      </c>
      <c r="G30" s="51">
        <f t="shared" si="1"/>
        <v>231093</v>
      </c>
      <c r="H30" s="51">
        <f t="shared" si="1"/>
        <v>270600</v>
      </c>
      <c r="I30" s="51">
        <f t="shared" si="1"/>
        <v>300000</v>
      </c>
      <c r="J30" s="51">
        <f t="shared" si="1"/>
        <v>300000</v>
      </c>
      <c r="K30" s="51">
        <f t="shared" si="1"/>
        <v>280317</v>
      </c>
      <c r="L30" s="51">
        <f>K30+L28</f>
        <v>195025</v>
      </c>
      <c r="M30" s="51">
        <f>L30+M28</f>
        <v>224000</v>
      </c>
      <c r="N30" s="216">
        <f>M30+N28</f>
        <v>224000</v>
      </c>
      <c r="O30" s="51"/>
    </row>
  </sheetData>
  <mergeCells count="3">
    <mergeCell ref="C5:D5"/>
    <mergeCell ref="E5:F5"/>
    <mergeCell ref="I5:J5"/>
  </mergeCells>
  <phoneticPr fontId="0" type="noConversion"/>
  <pageMargins left="0.34" right="0.41" top="0.55000000000000004" bottom="0.25" header="0.25" footer="0.25"/>
  <pageSetup scale="73" orientation="landscape" r:id="rId1"/>
  <headerFooter>
    <oddHeader>&amp;C&amp;K0000002022 Recommended MORE Budget</oddHeader>
    <oddFooter>&amp;A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80E3B040B91C439A2460F3AEB9B2CA" ma:contentTypeVersion="0" ma:contentTypeDescription="Create a new document." ma:contentTypeScope="" ma:versionID="eaf62145e79f53b1db992b06cfcb252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51e5d75fd9eb720630bb2bdd56224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0CB666-7927-4ACB-A1F0-B8752160BA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E8C259-3899-4BA0-803B-1335817CCB1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860BAE2-2262-4C24-9CF2-332B2C49F7D5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81DD48A2-48B5-40FB-A823-09222F9506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2022 Recommended budget</vt:lpstr>
      <vt:lpstr>Carryover</vt:lpstr>
      <vt:lpstr>2022 Cost to Libs</vt:lpstr>
      <vt:lpstr>MORE Formula w 3-yr Avg '18-'20</vt:lpstr>
      <vt:lpstr>Reserves</vt:lpstr>
      <vt:lpstr>'2022 Recommended budget'!Print_Area</vt:lpstr>
      <vt:lpstr>Carryover!Print_Area</vt:lpstr>
      <vt:lpstr>'MORE Formula w 3-yr Avg ''18-''20'!Print_Area</vt:lpstr>
      <vt:lpstr>'2022 Cost to Libs'!Print_Titles</vt:lpstr>
      <vt:lpstr>'2022 Recommended budget'!Print_Titles</vt:lpstr>
      <vt:lpstr>'MORE Formula w 3-yr Avg ''18-''20'!Print_Titles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 Button</dc:creator>
  <cp:lastModifiedBy>roholt</cp:lastModifiedBy>
  <cp:lastPrinted>2021-05-13T20:00:33Z</cp:lastPrinted>
  <dcterms:created xsi:type="dcterms:W3CDTF">2001-03-30T14:44:35Z</dcterms:created>
  <dcterms:modified xsi:type="dcterms:W3CDTF">2021-06-14T14:28:19Z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0x0101005080E3B040B91C439A2460F3AEB9B2CA</vt:lpwstr>
  </property>
</Properties>
</file>