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s\users$\if\button\MORE\"/>
    </mc:Choice>
  </mc:AlternateContent>
  <xr:revisionPtr revIDLastSave="0" documentId="13_ncr:1_{BA1ED608-A73D-4BF4-B806-050F9A5A4AEC}" xr6:coauthVersionLast="44" xr6:coauthVersionMax="45" xr10:uidLastSave="{00000000-0000-0000-0000-000000000000}"/>
  <bookViews>
    <workbookView xWindow="-24120" yWindow="-120" windowWidth="24240" windowHeight="13140" tabRatio="573" xr2:uid="{00000000-000D-0000-FFFF-FFFF00000000}"/>
  </bookViews>
  <sheets>
    <sheet name="2021 Approved budget" sheetId="18" r:id="rId1"/>
    <sheet name="Carryover" sheetId="22" r:id="rId2"/>
    <sheet name="2021 Cost to Libs" sheetId="20" r:id="rId3"/>
    <sheet name="MORE Approved Formula w'19 Data" sheetId="21" r:id="rId4"/>
    <sheet name="Reserves" sheetId="19" r:id="rId5"/>
  </sheets>
  <externalReferences>
    <externalReference r:id="rId6"/>
  </externalReferences>
  <definedNames>
    <definedName name="_xlnm.Print_Area" localSheetId="0">'2021 Approved budget'!$A$1:$I$52</definedName>
    <definedName name="_xlnm.Print_Area" localSheetId="1">Carryover!$A$5:$G$139</definedName>
    <definedName name="_xlnm.Print_Area" localSheetId="3">'MORE Approved Formula w''19 Data'!$A$1:$T$58</definedName>
    <definedName name="_xlnm.Print_Titles" localSheetId="0">'2021 Approved budget'!$5:$6</definedName>
    <definedName name="_xlnm.Print_Titles" localSheetId="2">'2021 Cost to Libs'!$10:$10</definedName>
    <definedName name="_xlnm.Print_Titles" localSheetId="3">'MORE Approved Formula w''19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0" l="1"/>
  <c r="D5" i="21"/>
  <c r="K22" i="21"/>
  <c r="G39" i="20" s="1"/>
  <c r="K28" i="21"/>
  <c r="K58" i="21" s="1"/>
  <c r="G28" i="20"/>
  <c r="J1" i="21"/>
  <c r="K49" i="21"/>
  <c r="H68" i="21"/>
  <c r="H66" i="21"/>
  <c r="H67" i="21"/>
  <c r="H65" i="21"/>
  <c r="G68" i="21"/>
  <c r="G67" i="21"/>
  <c r="G65" i="21"/>
  <c r="G66" i="21"/>
  <c r="C128" i="22"/>
  <c r="G20" i="20" l="1"/>
  <c r="G64" i="20" s="1"/>
  <c r="C123" i="22"/>
  <c r="D77" i="20" l="1"/>
  <c r="F93" i="20" l="1"/>
  <c r="D84" i="20" l="1"/>
  <c r="D79" i="20" l="1"/>
  <c r="E47" i="18" l="1"/>
  <c r="D80" i="20" l="1"/>
  <c r="D81" i="20"/>
  <c r="D82" i="20"/>
  <c r="D83" i="20"/>
  <c r="D85" i="20"/>
  <c r="D86" i="20"/>
  <c r="D87" i="20"/>
  <c r="D88" i="20"/>
  <c r="D89" i="20"/>
  <c r="D90" i="20"/>
  <c r="D91" i="20"/>
  <c r="D92" i="20"/>
  <c r="D78" i="20"/>
  <c r="D73" i="20"/>
  <c r="D74" i="20"/>
  <c r="D75" i="20"/>
  <c r="D72" i="20"/>
  <c r="D71" i="20"/>
  <c r="F39" i="18" l="1"/>
  <c r="F38" i="18"/>
  <c r="F37" i="18"/>
  <c r="F36" i="18"/>
  <c r="F35" i="18"/>
  <c r="F33" i="18"/>
  <c r="F32" i="18"/>
  <c r="F31" i="18"/>
  <c r="F29" i="18"/>
  <c r="F28" i="18"/>
  <c r="F26" i="18"/>
  <c r="F25" i="18"/>
  <c r="F13" i="18"/>
  <c r="F14" i="18"/>
  <c r="F15" i="18"/>
  <c r="F16" i="18"/>
  <c r="F17" i="18"/>
  <c r="F18" i="18"/>
  <c r="F19" i="18"/>
  <c r="F20" i="18"/>
  <c r="F21" i="18"/>
  <c r="F22" i="18"/>
  <c r="F23" i="18"/>
  <c r="F12" i="18"/>
  <c r="F10" i="18"/>
  <c r="F9" i="18"/>
  <c r="H47" i="18" l="1"/>
  <c r="D4" i="20" s="1"/>
  <c r="D47" i="18"/>
  <c r="C5" i="21" l="1"/>
  <c r="H40" i="18"/>
  <c r="F5" i="21" s="1"/>
  <c r="D40" i="18"/>
  <c r="F108" i="22" l="1"/>
  <c r="F45" i="18" l="1"/>
  <c r="F47" i="18" s="1"/>
  <c r="F40" i="18"/>
  <c r="C58" i="21" l="1"/>
  <c r="E7" i="20" l="1"/>
  <c r="D5" i="20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C89" i="22" l="1"/>
  <c r="D93" i="20" l="1"/>
  <c r="N28" i="19" l="1"/>
  <c r="C86" i="22" l="1"/>
  <c r="M28" i="19"/>
  <c r="O8" i="19"/>
  <c r="C20" i="22"/>
  <c r="C28" i="22" s="1"/>
  <c r="C29" i="22"/>
  <c r="C38" i="22"/>
  <c r="C39" i="22"/>
  <c r="C44" i="22"/>
  <c r="C75" i="22"/>
  <c r="T58" i="21"/>
  <c r="S58" i="21"/>
  <c r="R58" i="21"/>
  <c r="Q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58" i="21"/>
  <c r="I14" i="20"/>
  <c r="E58" i="21"/>
  <c r="F10" i="21" l="1"/>
  <c r="F14" i="21"/>
  <c r="F18" i="21"/>
  <c r="F22" i="21"/>
  <c r="F26" i="21"/>
  <c r="F30" i="21"/>
  <c r="F34" i="21"/>
  <c r="F38" i="21"/>
  <c r="F42" i="21"/>
  <c r="F46" i="21"/>
  <c r="F50" i="21"/>
  <c r="F54" i="21"/>
  <c r="F9" i="21"/>
  <c r="F15" i="21"/>
  <c r="F27" i="21"/>
  <c r="F35" i="21"/>
  <c r="F47" i="21"/>
  <c r="F55" i="21"/>
  <c r="F16" i="21"/>
  <c r="F24" i="21"/>
  <c r="F28" i="21"/>
  <c r="F36" i="21"/>
  <c r="F44" i="21"/>
  <c r="F52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11" i="21"/>
  <c r="F19" i="21"/>
  <c r="F23" i="21"/>
  <c r="F31" i="21"/>
  <c r="F39" i="21"/>
  <c r="F43" i="21"/>
  <c r="F51" i="21"/>
  <c r="F12" i="21"/>
  <c r="F20" i="21"/>
  <c r="F32" i="21"/>
  <c r="F40" i="21"/>
  <c r="F48" i="21"/>
  <c r="F56" i="21"/>
  <c r="D12" i="21"/>
  <c r="D16" i="21"/>
  <c r="D20" i="21"/>
  <c r="D24" i="21"/>
  <c r="D28" i="21"/>
  <c r="D32" i="21"/>
  <c r="D36" i="21"/>
  <c r="D40" i="21"/>
  <c r="D44" i="21"/>
  <c r="D48" i="21"/>
  <c r="D52" i="21"/>
  <c r="D56" i="21"/>
  <c r="D15" i="21"/>
  <c r="D27" i="21"/>
  <c r="D39" i="21"/>
  <c r="D51" i="21"/>
  <c r="D13" i="21"/>
  <c r="D17" i="21"/>
  <c r="D21" i="21"/>
  <c r="D25" i="21"/>
  <c r="D29" i="21"/>
  <c r="D33" i="21"/>
  <c r="D37" i="21"/>
  <c r="D41" i="21"/>
  <c r="D45" i="21"/>
  <c r="D49" i="21"/>
  <c r="D53" i="21"/>
  <c r="D57" i="21"/>
  <c r="D19" i="21"/>
  <c r="D31" i="21"/>
  <c r="D43" i="21"/>
  <c r="D55" i="21"/>
  <c r="D10" i="21"/>
  <c r="D14" i="21"/>
  <c r="D18" i="21"/>
  <c r="D22" i="21"/>
  <c r="D26" i="21"/>
  <c r="D30" i="21"/>
  <c r="D34" i="21"/>
  <c r="D38" i="21"/>
  <c r="D42" i="21"/>
  <c r="D46" i="21"/>
  <c r="D50" i="21"/>
  <c r="D54" i="21"/>
  <c r="D9" i="21"/>
  <c r="D11" i="21"/>
  <c r="D23" i="21"/>
  <c r="D35" i="21"/>
  <c r="D47" i="21"/>
  <c r="H54" i="21"/>
  <c r="D38" i="20" s="1"/>
  <c r="I38" i="20" s="1"/>
  <c r="H57" i="21"/>
  <c r="D30" i="20" s="1"/>
  <c r="I30" i="20" s="1"/>
  <c r="H41" i="21"/>
  <c r="D61" i="20" s="1"/>
  <c r="H24" i="21"/>
  <c r="D32" i="20" s="1"/>
  <c r="I32" i="20" s="1"/>
  <c r="H50" i="21"/>
  <c r="D40" i="20" s="1"/>
  <c r="I40" i="20" s="1"/>
  <c r="H56" i="21"/>
  <c r="D57" i="20" s="1"/>
  <c r="I57" i="20" s="1"/>
  <c r="H40" i="21"/>
  <c r="D23" i="20" s="1"/>
  <c r="I23" i="20" s="1"/>
  <c r="H23" i="21"/>
  <c r="D33" i="20" s="1"/>
  <c r="I33" i="20" s="1"/>
  <c r="H9" i="21"/>
  <c r="D11" i="20" s="1"/>
  <c r="H38" i="21"/>
  <c r="D36" i="20" s="1"/>
  <c r="I36" i="20" s="1"/>
  <c r="H43" i="21"/>
  <c r="D25" i="20" s="1"/>
  <c r="I25" i="20" s="1"/>
  <c r="H26" i="21"/>
  <c r="D15" i="20" s="1"/>
  <c r="I15" i="20" s="1"/>
  <c r="H10" i="21"/>
  <c r="D60" i="20" s="1"/>
  <c r="I60" i="20" s="1"/>
  <c r="H33" i="21"/>
  <c r="D18" i="20" s="1"/>
  <c r="I18" i="20" s="1"/>
  <c r="H18" i="21"/>
  <c r="D48" i="20" s="1"/>
  <c r="I48" i="20" s="1"/>
  <c r="H45" i="21"/>
  <c r="D50" i="20" s="1"/>
  <c r="I50" i="20" s="1"/>
  <c r="H17" i="21"/>
  <c r="D53" i="20" s="1"/>
  <c r="I53" i="20" s="1"/>
  <c r="H21" i="21"/>
  <c r="D46" i="20" s="1"/>
  <c r="I46" i="20" s="1"/>
  <c r="H14" i="21"/>
  <c r="D52" i="20" s="1"/>
  <c r="I52" i="20" s="1"/>
  <c r="H42" i="21"/>
  <c r="D24" i="20" s="1"/>
  <c r="I24" i="20" s="1"/>
  <c r="H53" i="21"/>
  <c r="D42" i="20" s="1"/>
  <c r="I42" i="20" s="1"/>
  <c r="H36" i="21"/>
  <c r="D56" i="20" s="1"/>
  <c r="I56" i="20" s="1"/>
  <c r="H20" i="21"/>
  <c r="D34" i="20" s="1"/>
  <c r="I34" i="20" s="1"/>
  <c r="H37" i="21"/>
  <c r="D21" i="20" s="1"/>
  <c r="I21" i="20" s="1"/>
  <c r="H52" i="21"/>
  <c r="D29" i="20" s="1"/>
  <c r="I29" i="20" s="1"/>
  <c r="H35" i="21"/>
  <c r="D19" i="20" s="1"/>
  <c r="I19" i="20" s="1"/>
  <c r="H19" i="21"/>
  <c r="D54" i="20" s="1"/>
  <c r="I54" i="20" s="1"/>
  <c r="H46" i="21"/>
  <c r="D49" i="20" s="1"/>
  <c r="I49" i="20" s="1"/>
  <c r="H55" i="21"/>
  <c r="D51" i="20" s="1"/>
  <c r="I51" i="20" s="1"/>
  <c r="H39" i="21"/>
  <c r="D22" i="20" s="1"/>
  <c r="I22" i="20" s="1"/>
  <c r="H22" i="21"/>
  <c r="D39" i="20" s="1"/>
  <c r="I39" i="20" s="1"/>
  <c r="H15" i="21"/>
  <c r="D59" i="20" s="1"/>
  <c r="I59" i="20" s="1"/>
  <c r="H34" i="21"/>
  <c r="D44" i="20" s="1"/>
  <c r="I44" i="20" s="1"/>
  <c r="H13" i="21"/>
  <c r="D13" i="20" s="1"/>
  <c r="I13" i="20" s="1"/>
  <c r="H12" i="21"/>
  <c r="D12" i="20" s="1"/>
  <c r="I12" i="20" s="1"/>
  <c r="H27" i="21"/>
  <c r="D16" i="20" s="1"/>
  <c r="I16" i="20" s="1"/>
  <c r="H47" i="21"/>
  <c r="D27" i="20" s="1"/>
  <c r="I27" i="20" s="1"/>
  <c r="H29" i="21"/>
  <c r="D17" i="20" s="1"/>
  <c r="I17" i="20" s="1"/>
  <c r="H49" i="21"/>
  <c r="D28" i="20" s="1"/>
  <c r="I28" i="20" s="1"/>
  <c r="H32" i="21"/>
  <c r="D35" i="20" s="1"/>
  <c r="I35" i="20" s="1"/>
  <c r="H16" i="21"/>
  <c r="D31" i="20" s="1"/>
  <c r="I31" i="20" s="1"/>
  <c r="H25" i="21"/>
  <c r="D55" i="20" s="1"/>
  <c r="I55" i="20" s="1"/>
  <c r="H48" i="21"/>
  <c r="D45" i="20" s="1"/>
  <c r="I45" i="20" s="1"/>
  <c r="H31" i="21"/>
  <c r="D41" i="20" s="1"/>
  <c r="I41" i="20" s="1"/>
  <c r="H51" i="21"/>
  <c r="D58" i="20" s="1"/>
  <c r="I58" i="20" s="1"/>
  <c r="H28" i="21"/>
  <c r="D20" i="20" s="1"/>
  <c r="I20" i="20" s="1"/>
  <c r="H44" i="21"/>
  <c r="D37" i="20" s="1"/>
  <c r="I37" i="20" s="1"/>
  <c r="H11" i="21"/>
  <c r="D47" i="20" s="1"/>
  <c r="I47" i="20" s="1"/>
  <c r="H30" i="21"/>
  <c r="D43" i="20" s="1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E5" i="21"/>
  <c r="I26" i="20"/>
  <c r="C25" i="19"/>
  <c r="J9" i="20"/>
  <c r="E28" i="22"/>
  <c r="C43" i="22"/>
  <c r="M52" i="21" l="1"/>
  <c r="M10" i="21"/>
  <c r="J58" i="20"/>
  <c r="M9" i="21"/>
  <c r="M16" i="21"/>
  <c r="D58" i="21"/>
  <c r="M47" i="21"/>
  <c r="M51" i="21"/>
  <c r="M54" i="21"/>
  <c r="M17" i="21"/>
  <c r="M34" i="21"/>
  <c r="M30" i="21"/>
  <c r="M55" i="21"/>
  <c r="M50" i="21"/>
  <c r="M53" i="21"/>
  <c r="M37" i="21"/>
  <c r="M46" i="21"/>
  <c r="M32" i="21"/>
  <c r="M56" i="21"/>
  <c r="M23" i="21"/>
  <c r="M12" i="21"/>
  <c r="M15" i="21"/>
  <c r="M24" i="21"/>
  <c r="M42" i="21"/>
  <c r="M11" i="21"/>
  <c r="M45" i="21"/>
  <c r="M25" i="21"/>
  <c r="M29" i="21"/>
  <c r="M21" i="21"/>
  <c r="M28" i="21"/>
  <c r="M39" i="21"/>
  <c r="M36" i="21"/>
  <c r="M33" i="21"/>
  <c r="M57" i="21"/>
  <c r="M48" i="21"/>
  <c r="M13" i="21"/>
  <c r="M38" i="21"/>
  <c r="M20" i="21"/>
  <c r="M19" i="21"/>
  <c r="M22" i="21"/>
  <c r="M40" i="21"/>
  <c r="M49" i="21"/>
  <c r="M41" i="21"/>
  <c r="M44" i="21"/>
  <c r="M43" i="21"/>
  <c r="M14" i="21"/>
  <c r="I16" i="21"/>
  <c r="I9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I21" i="21"/>
  <c r="I42" i="21"/>
  <c r="I49" i="21"/>
  <c r="I27" i="21"/>
  <c r="I32" i="21"/>
  <c r="I47" i="21"/>
  <c r="I22" i="21"/>
  <c r="I35" i="21"/>
  <c r="I53" i="21"/>
  <c r="I55" i="21"/>
  <c r="I46" i="21"/>
  <c r="I57" i="21"/>
  <c r="I40" i="21"/>
  <c r="I31" i="21"/>
  <c r="I52" i="21"/>
  <c r="I10" i="21"/>
  <c r="I12" i="21"/>
  <c r="I29" i="21"/>
  <c r="I25" i="21"/>
  <c r="I51" i="21"/>
  <c r="I43" i="21"/>
  <c r="I20" i="21"/>
  <c r="I17" i="21"/>
  <c r="I37" i="21"/>
  <c r="I19" i="21"/>
  <c r="I13" i="21"/>
  <c r="I36" i="21"/>
  <c r="I14" i="21"/>
  <c r="I48" i="21"/>
  <c r="I45" i="21"/>
  <c r="I11" i="21"/>
  <c r="I38" i="21"/>
  <c r="I44" i="21"/>
  <c r="I39" i="21"/>
  <c r="I24" i="21"/>
  <c r="I54" i="21"/>
  <c r="I33" i="21"/>
  <c r="I18" i="21"/>
  <c r="I15" i="21"/>
  <c r="I30" i="21"/>
  <c r="D6" i="20"/>
  <c r="E19" i="20" s="1"/>
  <c r="F58" i="21"/>
  <c r="I56" i="21"/>
  <c r="I26" i="21"/>
  <c r="I41" i="21"/>
  <c r="I34" i="21"/>
  <c r="I50" i="21"/>
  <c r="I23" i="21"/>
  <c r="M35" i="21"/>
  <c r="M18" i="21"/>
  <c r="M31" i="21"/>
  <c r="M27" i="21"/>
  <c r="M26" i="21"/>
  <c r="H58" i="21"/>
  <c r="J19" i="20"/>
  <c r="J15" i="20"/>
  <c r="J17" i="20"/>
  <c r="J14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F19" i="20" l="1"/>
  <c r="H19" i="20" s="1"/>
  <c r="K19" i="20" s="1"/>
  <c r="J41" i="21"/>
  <c r="L41" i="21"/>
  <c r="J44" i="21"/>
  <c r="L44" i="21"/>
  <c r="O44" i="21" s="1"/>
  <c r="J43" i="21"/>
  <c r="L43" i="21"/>
  <c r="J53" i="21"/>
  <c r="L53" i="21"/>
  <c r="O53" i="21" s="1"/>
  <c r="J9" i="21"/>
  <c r="L9" i="21"/>
  <c r="J23" i="21"/>
  <c r="L23" i="21"/>
  <c r="O23" i="21" s="1"/>
  <c r="J26" i="21"/>
  <c r="L26" i="21"/>
  <c r="J30" i="21"/>
  <c r="L30" i="21"/>
  <c r="O30" i="21" s="1"/>
  <c r="J54" i="21"/>
  <c r="L54" i="21"/>
  <c r="J38" i="21"/>
  <c r="L38" i="21"/>
  <c r="N38" i="21" s="1"/>
  <c r="J14" i="21"/>
  <c r="L14" i="21"/>
  <c r="J37" i="21"/>
  <c r="L37" i="21"/>
  <c r="O37" i="21" s="1"/>
  <c r="J51" i="21"/>
  <c r="L51" i="21" s="1"/>
  <c r="J10" i="21"/>
  <c r="L10" i="21" s="1"/>
  <c r="N10" i="21" s="1"/>
  <c r="J57" i="21"/>
  <c r="L57" i="21" s="1"/>
  <c r="J35" i="21"/>
  <c r="L35" i="21" s="1"/>
  <c r="J27" i="21"/>
  <c r="L27" i="21" s="1"/>
  <c r="J28" i="21"/>
  <c r="L28" i="21" s="1"/>
  <c r="N28" i="21" s="1"/>
  <c r="J16" i="21"/>
  <c r="L16" i="21" s="1"/>
  <c r="J33" i="21"/>
  <c r="L33" i="21" s="1"/>
  <c r="O33" i="21" s="1"/>
  <c r="J48" i="21"/>
  <c r="L48" i="21" s="1"/>
  <c r="J12" i="21"/>
  <c r="L12" i="21"/>
  <c r="O12" i="21" s="1"/>
  <c r="J32" i="21"/>
  <c r="L32" i="21" s="1"/>
  <c r="J50" i="21"/>
  <c r="L50" i="21" s="1"/>
  <c r="J56" i="21"/>
  <c r="L56" i="21" s="1"/>
  <c r="J15" i="21"/>
  <c r="L15" i="21" s="1"/>
  <c r="O15" i="21" s="1"/>
  <c r="J24" i="21"/>
  <c r="L24" i="21" s="1"/>
  <c r="J11" i="21"/>
  <c r="L11" i="21" s="1"/>
  <c r="J36" i="21"/>
  <c r="L36" i="21" s="1"/>
  <c r="J17" i="21"/>
  <c r="L17" i="21"/>
  <c r="N17" i="21" s="1"/>
  <c r="J25" i="21"/>
  <c r="L25" i="21" s="1"/>
  <c r="J52" i="21"/>
  <c r="L52" i="21" s="1"/>
  <c r="O52" i="21" s="1"/>
  <c r="J46" i="21"/>
  <c r="L46" i="21" s="1"/>
  <c r="J22" i="21"/>
  <c r="L22" i="21"/>
  <c r="N22" i="21" s="1"/>
  <c r="J49" i="21"/>
  <c r="L49" i="21" s="1"/>
  <c r="J19" i="21"/>
  <c r="L19" i="21" s="1"/>
  <c r="J40" i="21"/>
  <c r="L40" i="21" s="1"/>
  <c r="J21" i="21"/>
  <c r="L21" i="21"/>
  <c r="N21" i="21" s="1"/>
  <c r="J34" i="21"/>
  <c r="L34" i="21" s="1"/>
  <c r="J18" i="21"/>
  <c r="L18" i="21" s="1"/>
  <c r="J39" i="21"/>
  <c r="L39" i="21" s="1"/>
  <c r="J45" i="21"/>
  <c r="L45" i="21" s="1"/>
  <c r="N45" i="21" s="1"/>
  <c r="J13" i="21"/>
  <c r="L13" i="21" s="1"/>
  <c r="J20" i="21"/>
  <c r="L20" i="21" s="1"/>
  <c r="J29" i="21"/>
  <c r="L29" i="21" s="1"/>
  <c r="J31" i="21"/>
  <c r="L31" i="21"/>
  <c r="O31" i="21" s="1"/>
  <c r="J55" i="21"/>
  <c r="L55" i="21" s="1"/>
  <c r="J47" i="21"/>
  <c r="L47" i="21" s="1"/>
  <c r="N47" i="21" s="1"/>
  <c r="J42" i="21"/>
  <c r="L42" i="21" s="1"/>
  <c r="E23" i="20"/>
  <c r="E25" i="20"/>
  <c r="K9" i="20"/>
  <c r="E50" i="20"/>
  <c r="E60" i="20"/>
  <c r="E22" i="20"/>
  <c r="I58" i="21"/>
  <c r="E51" i="20"/>
  <c r="E56" i="20"/>
  <c r="E43" i="20"/>
  <c r="E38" i="20"/>
  <c r="E11" i="20"/>
  <c r="E37" i="20"/>
  <c r="E44" i="20"/>
  <c r="M58" i="21"/>
  <c r="E33" i="20"/>
  <c r="E57" i="20"/>
  <c r="E45" i="20"/>
  <c r="E26" i="20"/>
  <c r="E42" i="20"/>
  <c r="E21" i="20"/>
  <c r="E52" i="20"/>
  <c r="E14" i="20"/>
  <c r="E39" i="20"/>
  <c r="E46" i="20"/>
  <c r="E17" i="20"/>
  <c r="E58" i="20"/>
  <c r="E16" i="20"/>
  <c r="E32" i="20"/>
  <c r="E15" i="20"/>
  <c r="E24" i="20"/>
  <c r="E31" i="20"/>
  <c r="E30" i="20"/>
  <c r="E54" i="20"/>
  <c r="E53" i="20"/>
  <c r="E35" i="20"/>
  <c r="E27" i="20"/>
  <c r="E40" i="20"/>
  <c r="E13" i="20"/>
  <c r="E29" i="20"/>
  <c r="E48" i="20"/>
  <c r="E47" i="20"/>
  <c r="E41" i="20"/>
  <c r="E12" i="20"/>
  <c r="E34" i="20"/>
  <c r="E59" i="20"/>
  <c r="E18" i="20"/>
  <c r="E55" i="20"/>
  <c r="E61" i="20"/>
  <c r="E36" i="20"/>
  <c r="E49" i="20"/>
  <c r="E20" i="20"/>
  <c r="E28" i="20"/>
  <c r="I11" i="20"/>
  <c r="I64" i="20" s="1"/>
  <c r="D64" i="20"/>
  <c r="J64" i="20"/>
  <c r="C60" i="22"/>
  <c r="E60" i="22" s="1"/>
  <c r="C69" i="22" s="1"/>
  <c r="E69" i="22" s="1"/>
  <c r="C76" i="22" s="1"/>
  <c r="E54" i="22"/>
  <c r="O14" i="21"/>
  <c r="N14" i="21"/>
  <c r="O22" i="21"/>
  <c r="N43" i="21"/>
  <c r="O43" i="21"/>
  <c r="O41" i="21"/>
  <c r="N41" i="21"/>
  <c r="O54" i="21"/>
  <c r="N54" i="21"/>
  <c r="O26" i="21"/>
  <c r="N26" i="21"/>
  <c r="N9" i="21"/>
  <c r="O9" i="21"/>
  <c r="F28" i="20" l="1"/>
  <c r="H28" i="20" s="1"/>
  <c r="F61" i="20"/>
  <c r="H61" i="20"/>
  <c r="F34" i="20"/>
  <c r="H34" i="20" s="1"/>
  <c r="F48" i="20"/>
  <c r="H48" i="20"/>
  <c r="F27" i="20"/>
  <c r="H27" i="20" s="1"/>
  <c r="F30" i="20"/>
  <c r="H30" i="20"/>
  <c r="F32" i="20"/>
  <c r="H32" i="20" s="1"/>
  <c r="F46" i="20"/>
  <c r="H46" i="20"/>
  <c r="F21" i="20"/>
  <c r="H21" i="20" s="1"/>
  <c r="F57" i="20"/>
  <c r="H57" i="20"/>
  <c r="F37" i="20"/>
  <c r="H37" i="20" s="1"/>
  <c r="F56" i="20"/>
  <c r="H56" i="20"/>
  <c r="F60" i="20"/>
  <c r="H60" i="20" s="1"/>
  <c r="F23" i="20"/>
  <c r="H23" i="20"/>
  <c r="F20" i="20"/>
  <c r="H20" i="20" s="1"/>
  <c r="F55" i="20"/>
  <c r="H55" i="20"/>
  <c r="F12" i="20"/>
  <c r="H12" i="20" s="1"/>
  <c r="F29" i="20"/>
  <c r="H29" i="20"/>
  <c r="F35" i="20"/>
  <c r="H35" i="20" s="1"/>
  <c r="F31" i="20"/>
  <c r="H31" i="20"/>
  <c r="F16" i="20"/>
  <c r="H16" i="20" s="1"/>
  <c r="F39" i="20"/>
  <c r="H39" i="20"/>
  <c r="F42" i="20"/>
  <c r="H42" i="20" s="1"/>
  <c r="F33" i="20"/>
  <c r="H33" i="20"/>
  <c r="F11" i="20"/>
  <c r="H11" i="20" s="1"/>
  <c r="F51" i="20"/>
  <c r="H51" i="20"/>
  <c r="F50" i="20"/>
  <c r="H50" i="20" s="1"/>
  <c r="F49" i="20"/>
  <c r="H49" i="20"/>
  <c r="F18" i="20"/>
  <c r="H18" i="20" s="1"/>
  <c r="F41" i="20"/>
  <c r="H41" i="20"/>
  <c r="F13" i="20"/>
  <c r="H13" i="20" s="1"/>
  <c r="F53" i="20"/>
  <c r="H53" i="20"/>
  <c r="F24" i="20"/>
  <c r="H24" i="20" s="1"/>
  <c r="F58" i="20"/>
  <c r="H58" i="20"/>
  <c r="K14" i="20"/>
  <c r="H14" i="20"/>
  <c r="H26" i="20"/>
  <c r="K26" i="20" s="1"/>
  <c r="F38" i="20"/>
  <c r="H38" i="20" s="1"/>
  <c r="F36" i="20"/>
  <c r="H36" i="20"/>
  <c r="F59" i="20"/>
  <c r="H59" i="20" s="1"/>
  <c r="F47" i="20"/>
  <c r="H47" i="20"/>
  <c r="F40" i="20"/>
  <c r="H40" i="20" s="1"/>
  <c r="F54" i="20"/>
  <c r="H54" i="20"/>
  <c r="F15" i="20"/>
  <c r="H15" i="20" s="1"/>
  <c r="F17" i="20"/>
  <c r="H17" i="20"/>
  <c r="F52" i="20"/>
  <c r="H52" i="20"/>
  <c r="F45" i="20"/>
  <c r="H45" i="20"/>
  <c r="F44" i="20"/>
  <c r="H44" i="20"/>
  <c r="F43" i="20"/>
  <c r="H43" i="20"/>
  <c r="F22" i="20"/>
  <c r="H22" i="20"/>
  <c r="F25" i="20"/>
  <c r="H25" i="20"/>
  <c r="N23" i="21"/>
  <c r="O35" i="21"/>
  <c r="N35" i="21"/>
  <c r="N11" i="21"/>
  <c r="O11" i="21"/>
  <c r="O18" i="21"/>
  <c r="N18" i="21"/>
  <c r="O50" i="21"/>
  <c r="N50" i="21"/>
  <c r="N20" i="21"/>
  <c r="O20" i="21"/>
  <c r="N57" i="21"/>
  <c r="O57" i="21"/>
  <c r="N19" i="21"/>
  <c r="O19" i="21"/>
  <c r="J58" i="21"/>
  <c r="O17" i="21"/>
  <c r="N44" i="21"/>
  <c r="N37" i="21"/>
  <c r="N42" i="21"/>
  <c r="O42" i="21"/>
  <c r="O56" i="21"/>
  <c r="N56" i="21"/>
  <c r="N49" i="21"/>
  <c r="O49" i="21"/>
  <c r="O24" i="21"/>
  <c r="N24" i="21"/>
  <c r="O16" i="21"/>
  <c r="N16" i="21"/>
  <c r="L58" i="21"/>
  <c r="O58" i="21" s="1"/>
  <c r="N39" i="21"/>
  <c r="O39" i="21"/>
  <c r="N13" i="21"/>
  <c r="O13" i="21"/>
  <c r="O29" i="21"/>
  <c r="N29" i="21"/>
  <c r="O40" i="21"/>
  <c r="N40" i="21"/>
  <c r="O36" i="21"/>
  <c r="N36" i="21"/>
  <c r="O48" i="21"/>
  <c r="N48" i="21"/>
  <c r="N46" i="21"/>
  <c r="O46" i="21"/>
  <c r="O27" i="21"/>
  <c r="N27" i="21"/>
  <c r="O55" i="21"/>
  <c r="N55" i="21"/>
  <c r="O34" i="21"/>
  <c r="N34" i="21"/>
  <c r="O25" i="21"/>
  <c r="N25" i="21"/>
  <c r="O32" i="21"/>
  <c r="N32" i="21"/>
  <c r="N51" i="21"/>
  <c r="O51" i="21"/>
  <c r="O47" i="21"/>
  <c r="N53" i="21"/>
  <c r="N15" i="21"/>
  <c r="N52" i="21"/>
  <c r="O45" i="21"/>
  <c r="N12" i="21"/>
  <c r="N30" i="21"/>
  <c r="O38" i="21"/>
  <c r="N33" i="21"/>
  <c r="O21" i="21"/>
  <c r="O28" i="21"/>
  <c r="N31" i="21"/>
  <c r="O10" i="21"/>
  <c r="E64" i="20"/>
  <c r="F64" i="20"/>
  <c r="C82" i="22"/>
  <c r="E76" i="22"/>
  <c r="H62" i="20" l="1"/>
  <c r="H64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N58" i="21"/>
  <c r="E82" i="22"/>
  <c r="K64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F51" i="18" s="1"/>
  <c r="H51" i="18" s="1"/>
  <c r="E126" i="22" l="1"/>
  <c r="C132" i="22"/>
  <c r="E132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increase</t>
        </r>
      </text>
    </comment>
    <comment ref="H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III's 2021 Renewal quotes, 5-20-2020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3.5% increase per JT: $298,494; increase eliminated per 6-7</t>
        </r>
      </text>
    </comment>
    <comment ref="D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buying pool increase</t>
        </r>
      </text>
    </comment>
    <comment ref="H35" authorId="0" shapeId="0" xr:uid="{BBAE01BD-B8A8-4DFA-8B0F-7C1E8671CC7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Per WPLC budget passed 6-15-2020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prepaid 3 years' maintenance on 3 SIP2 licenses in Oct. 2017. They were double-charged for maintenance in 2019; credit applied. Maintenance on original 3 licenses paid through 2020</t>
        </r>
      </text>
    </comment>
    <comment ref="C8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3rd SIP2 license purchased 5-2019; 1st maintenance bill here 2021</t>
        </r>
      </text>
    </comment>
    <comment ref="C89" authorId="0" shapeId="0" xr:uid="{6929A48A-B883-4ABB-8099-9ED12DD087D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2nd self-check added in 2020. Add maintenance for this in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J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</commentList>
</comments>
</file>

<file path=xl/sharedStrings.xml><?xml version="1.0" encoding="utf-8"?>
<sst xmlns="http://schemas.openxmlformats.org/spreadsheetml/2006/main" count="469" uniqueCount="383">
  <si>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</si>
  <si>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</si>
  <si>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</si>
  <si>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</si>
  <si>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</si>
  <si>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</si>
  <si>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</si>
  <si>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</si>
  <si>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</si>
  <si>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</si>
  <si>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</si>
  <si>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</si>
  <si>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</si>
  <si>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</si>
  <si>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</si>
  <si>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</si>
  <si>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</si>
  <si>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</si>
  <si>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</si>
  <si>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</si>
  <si>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</si>
  <si>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</si>
  <si>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</si>
  <si>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</si>
  <si>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</si>
  <si>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</si>
  <si>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</si>
  <si>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</si>
  <si>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</si>
  <si>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</si>
  <si>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</si>
  <si>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</si>
  <si>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</si>
  <si>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</si>
  <si>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</si>
  <si>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</si>
  <si>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</si>
  <si>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</si>
  <si>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</si>
  <si>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</si>
  <si>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</si>
  <si>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</si>
  <si>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</si>
  <si>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</si>
  <si>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</si>
  <si>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</si>
  <si>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</si>
  <si>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</si>
  <si>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</si>
  <si>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</si>
  <si>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</si>
  <si>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</si>
  <si>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</si>
  <si>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</si>
  <si>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</si>
  <si>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</si>
  <si>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</si>
  <si>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</si>
  <si>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</si>
  <si>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</si>
  <si>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</si>
  <si>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</si>
  <si>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</si>
  <si>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</si>
  <si>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</si>
  <si>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</si>
  <si>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</si>
  <si>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</si>
  <si>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</si>
  <si>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</si>
  <si>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</si>
  <si>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</si>
  <si>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</si>
  <si>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</si>
  <si>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</si>
  <si>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</si>
  <si>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</si>
  <si>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</si>
  <si>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</si>
  <si>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</si>
  <si>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</si>
  <si>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</si>
  <si>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</si>
  <si>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</si>
  <si>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</si>
  <si>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</si>
  <si>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</si>
  <si>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</si>
  <si>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</si>
  <si>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</si>
  <si>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</si>
  <si>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</si>
  <si>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</si>
  <si>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</si>
  <si>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</si>
  <si>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</si>
  <si>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</si>
  <si>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</si>
  <si>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</si>
  <si>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</si>
  <si>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</si>
  <si>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</si>
  <si>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</si>
  <si>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</si>
  <si>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</si>
  <si>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</si>
  <si>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</si>
  <si>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</si>
  <si>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</si>
  <si>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</si>
  <si>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</si>
  <si>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</si>
  <si>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</si>
  <si>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</si>
  <si>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</si>
  <si>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</si>
  <si>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</si>
  <si>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</si>
  <si>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</si>
  <si>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</si>
  <si>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</si>
  <si>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</si>
  <si>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</si>
  <si>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</si>
  <si>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</si>
  <si>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</si>
  <si>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</si>
  <si>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</si>
  <si>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</si>
  <si>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</si>
  <si>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</si>
  <si>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</si>
  <si>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</si>
  <si>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</si>
  <si>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</si>
  <si>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</si>
  <si>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</si>
  <si>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</si>
  <si>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</si>
  <si>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</si>
  <si>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</si>
  <si>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</si>
  <si>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</si>
  <si>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</si>
  <si>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</si>
  <si>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</si>
  <si>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</si>
  <si>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</si>
  <si>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</si>
  <si>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</si>
  <si>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</si>
  <si>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</si>
  <si>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</si>
  <si>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</si>
  <si>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</si>
  <si>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</si>
  <si>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</si>
  <si>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</si>
  <si>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</si>
  <si>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</si>
  <si>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</si>
  <si>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</si>
  <si>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</si>
  <si>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</si>
  <si>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</si>
  <si>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</si>
  <si>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</si>
  <si>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</si>
  <si>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</si>
  <si>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</si>
  <si>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</si>
  <si>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</si>
  <si>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</si>
  <si>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</si>
  <si>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</si>
  <si>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</si>
  <si>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</si>
  <si>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</si>
  <si>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</si>
  <si>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</si>
  <si>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</si>
  <si>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</si>
  <si>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</si>
  <si>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</si>
  <si>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</si>
  <si>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</si>
  <si>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</si>
  <si>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</si>
  <si>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</si>
  <si>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</si>
  <si>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</si>
  <si>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</si>
  <si>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</si>
  <si>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</si>
  <si>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</si>
  <si>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</si>
  <si>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</si>
  <si>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</si>
  <si>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</si>
  <si>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</si>
  <si>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</si>
  <si>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</si>
  <si>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</si>
  <si>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</si>
  <si>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</si>
  <si>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</si>
  <si>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</si>
  <si>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</si>
  <si>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</si>
  <si>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</si>
  <si>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</si>
  <si>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</si>
  <si>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</si>
  <si>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</si>
  <si>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</si>
  <si>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</si>
  <si>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</si>
  <si>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</si>
  <si>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</si>
  <si>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</si>
  <si>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</si>
  <si>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</si>
  <si>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</si>
  <si>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</si>
  <si>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</si>
  <si>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</si>
  <si>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</si>
  <si>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</si>
  <si>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</si>
  <si>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</si>
  <si>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</si>
  <si>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</si>
  <si>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</si>
  <si>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</si>
  <si>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</si>
  <si>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</si>
  <si>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</si>
  <si>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</si>
  <si>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</si>
  <si>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</si>
  <si>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</si>
  <si>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</si>
  <si>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</si>
  <si>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</si>
  <si>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</si>
  <si>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</si>
  <si>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</si>
  <si>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</si>
  <si>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</si>
  <si>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</si>
  <si>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</si>
  <si>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</si>
  <si>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</si>
  <si>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</si>
  <si>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</si>
  <si>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</si>
  <si>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</si>
  <si>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</si>
  <si>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</si>
  <si>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</si>
  <si>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</si>
  <si>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</si>
  <si>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</si>
  <si>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</si>
  <si>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</si>
  <si>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</si>
  <si>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</si>
  <si>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</si>
  <si>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</si>
  <si>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</si>
  <si>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</si>
  <si>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</si>
  <si>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</si>
  <si>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</si>
  <si>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</si>
  <si>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</si>
  <si>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</si>
  <si>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</si>
  <si>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</si>
  <si>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</si>
  <si>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</si>
  <si>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</si>
  <si>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</si>
  <si>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</si>
  <si>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</si>
  <si>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</si>
  <si>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</si>
  <si>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</si>
  <si>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</si>
  <si>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</si>
  <si>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</si>
  <si>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</si>
  <si>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</si>
  <si>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>iTIVA from Talking Tech</t>
  </si>
  <si>
    <t>Messaging telephone notification and renewal service, annual fee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</si>
  <si>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</si>
  <si>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</si>
  <si>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</si>
  <si>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</si>
  <si>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</si>
  <si>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</si>
  <si>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</si>
  <si>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</si>
  <si>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</si>
  <si>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</si>
  <si>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</si>
  <si>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Est Carryover @ 12/31/18</t>
  </si>
  <si>
    <t>Primarily annual Innovative Users Group Conference</t>
  </si>
  <si>
    <t>OCLC, Web Dewey, and RDA Toolkit</t>
  </si>
  <si>
    <t>Statewide OverDrive collection buying pool; some funds returned for system Advantage account</t>
  </si>
  <si>
    <t xml:space="preserve">Eau Claire </t>
  </si>
  <si>
    <t>Carryover @ 12/31/17</t>
  </si>
  <si>
    <t>Est Carryover @ 12/31/19</t>
  </si>
  <si>
    <t xml:space="preserve">   Less 2018 Add'l from Carryover (revised budget)</t>
  </si>
  <si>
    <t xml:space="preserve">   Less 2019 Projects from Carryover</t>
  </si>
  <si>
    <t xml:space="preserve">   Less 2019 Add'l from Carryover (revised budget)</t>
  </si>
  <si>
    <t xml:space="preserve">   Adj to Close Books @ end of 2019</t>
  </si>
  <si>
    <t xml:space="preserve">   Reserves - Boopsie deferred to 2018</t>
  </si>
  <si>
    <t>Statistical and collection development tool</t>
  </si>
  <si>
    <t>Ongoing authority processing service</t>
  </si>
  <si>
    <t>Automation software support</t>
  </si>
  <si>
    <t>Eau Claire, Chippewa, Menomonie, Ladysmith, Balsam Lake, others</t>
  </si>
  <si>
    <t>Electronic magazines</t>
  </si>
  <si>
    <t xml:space="preserve"> 2020 Total</t>
  </si>
  <si>
    <t>Hosting Sierra and Encore servers</t>
  </si>
  <si>
    <t xml:space="preserve">   Less 2020 Projects from Carryover</t>
  </si>
  <si>
    <t xml:space="preserve">   Less 2020 Add'l from Carryover (revised budget)</t>
  </si>
  <si>
    <t xml:space="preserve">   Adj to Close Books @ end of 2020</t>
  </si>
  <si>
    <t>Est Carryover @ 12/31/20</t>
  </si>
  <si>
    <t xml:space="preserve">  Self-check @ $340/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</si>
  <si>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</si>
  <si>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</si>
  <si>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</si>
  <si>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</si>
  <si>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Based on IFLS's state aid; includes some IFLS personnel, committee meeting, training travel/meeting, and telephone expenses; increase for 2020 to cover offsite Directors Council meeting costs</t>
  </si>
  <si>
    <t>Database quality control</t>
  </si>
  <si>
    <t>7/19/2019 Approved</t>
  </si>
  <si>
    <t>2020 Budget</t>
  </si>
  <si>
    <t>2020 +/-</t>
  </si>
  <si>
    <t xml:space="preserve">   Less 2021 Projects from Carryover</t>
  </si>
  <si>
    <t xml:space="preserve">   Less 2021 Add'l from Carryover (revised budget)</t>
  </si>
  <si>
    <t xml:space="preserve">   Adj to Close Books @ end of 2021</t>
  </si>
  <si>
    <t>Est Carryover @ 12/31/21</t>
  </si>
  <si>
    <t>Reserve @ '21 = $24,000</t>
  </si>
  <si>
    <t>Reserve @ '21 = $175,000</t>
  </si>
  <si>
    <t>Reserve @ '21 = $25,000</t>
  </si>
  <si>
    <t>2021 MORE Costs to Library Participants</t>
  </si>
  <si>
    <t xml:space="preserve">2021 Total MORE Budget = </t>
  </si>
  <si>
    <t xml:space="preserve">Less 2021 IFLS Subsidy (off top) = </t>
  </si>
  <si>
    <t xml:space="preserve">2021 MORE Budget billable to Libs = </t>
  </si>
  <si>
    <t xml:space="preserve">Add'l 2021 IFLS Subsidy = Am't per Lib ($800 Min) </t>
  </si>
  <si>
    <t>2021         Total         Cost to Library</t>
  </si>
  <si>
    <t>2021  Contents/ Materials</t>
  </si>
  <si>
    <t>2021     General Maintenance</t>
  </si>
  <si>
    <t>MORE 2021 Cost Allocations</t>
  </si>
  <si>
    <t xml:space="preserve">2020 Costs </t>
  </si>
  <si>
    <t xml:space="preserve"> 2021 Total</t>
  </si>
  <si>
    <t>2019          items</t>
  </si>
  <si>
    <t>2019            circ</t>
  </si>
  <si>
    <t>2015-   2021</t>
  </si>
  <si>
    <t>MORE Funds</t>
  </si>
  <si>
    <t>Including</t>
  </si>
  <si>
    <t>2020: IUG Conference</t>
  </si>
  <si>
    <t>2020: BiblioCore implementation</t>
  </si>
  <si>
    <t>2021: Add $112,000 for centralized bibliographic services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</si>
  <si>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</si>
  <si>
    <t>IFLS OverDrive Advantage program. RSCD-recommended</t>
  </si>
  <si>
    <t>Flipster is current product. RSCD-recommended</t>
  </si>
  <si>
    <t>RSCD-recommended</t>
  </si>
  <si>
    <t>To purchase high-demand materials in any format. RSCD-recommended</t>
  </si>
  <si>
    <t>2021 Approved Budget</t>
  </si>
  <si>
    <t>Based on 2021 Approved Budget</t>
  </si>
  <si>
    <t>Approved Budget</t>
  </si>
  <si>
    <t>Approved</t>
  </si>
  <si>
    <t>7-17-2020</t>
  </si>
  <si>
    <t xml:space="preserve">  2021 Approved Budget:</t>
  </si>
  <si>
    <t xml:space="preserve">2021 Approved Costs 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</si>
  <si>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</si>
  <si>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</si>
  <si>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</si>
  <si>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</si>
  <si>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</si>
  <si>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 xml:space="preserve">Add'l 2021 IFLS Subsidy for Cataloging Partners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</si>
</sst>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2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3" fontId="9" fillId="0" borderId="0" xfId="4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7" borderId="7" xfId="2" applyFont="1" applyFill="1" applyBorder="1" applyAlignment="1">
      <alignment horizontal="center" wrapText="1"/>
    </xf>
    <xf numFmtId="44" fontId="2" fillId="0" borderId="10" xfId="2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170" fontId="0" fillId="0" borderId="19" xfId="2" applyNumberFormat="1" applyFont="1" applyBorder="1" applyAlignment="1">
      <alignment wrapText="1"/>
    </xf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Fill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Fill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44" fontId="0" fillId="42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0" fontId="10" fillId="42" borderId="17" xfId="4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164" fontId="10" fillId="0" borderId="0" xfId="4" applyNumberFormat="1" applyFont="1" applyBorder="1"/>
    <xf numFmtId="0" fontId="4" fillId="0" borderId="0" xfId="4" applyFont="1"/>
    <xf numFmtId="164" fontId="10" fillId="43" borderId="7" xfId="4" applyNumberFormat="1" applyFont="1" applyFill="1" applyBorder="1"/>
    <xf numFmtId="167" fontId="4" fillId="43" borderId="0" xfId="1" applyNumberFormat="1" applyFont="1" applyFill="1" applyBorder="1"/>
    <xf numFmtId="167" fontId="9" fillId="0" borderId="0" xfId="4" applyNumberFormat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3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6" xfId="1" applyNumberFormat="1" applyFont="1" applyBorder="1"/>
    <xf numFmtId="0" fontId="9" fillId="0" borderId="28" xfId="3" applyBorder="1"/>
    <xf numFmtId="0" fontId="9" fillId="0" borderId="36" xfId="3" applyBorder="1"/>
    <xf numFmtId="164" fontId="10" fillId="0" borderId="0" xfId="4" applyNumberFormat="1" applyFont="1" applyFill="1" applyBorder="1"/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Recommended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raft budget"/>
      <sheetName val="Carryover"/>
      <sheetName val="2021 Cost to Libs"/>
      <sheetName val="MORE Approved Formula w'19 Data"/>
      <sheetName val="Reserves"/>
      <sheetName val="2021 Recommended budget"/>
    </sheetNames>
    <sheetDataSet>
      <sheetData sheetId="0" refreshError="1">
        <row r="45">
          <cell r="E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I77"/>
  <sheetViews>
    <sheetView tabSelected="1" showRuler="0" zoomScale="85" zoomScaleNormal="85" zoomScalePageLayoutView="90" workbookViewId="0">
      <selection activeCell="J2" sqref="J2"/>
    </sheetView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57" customWidth="1"/>
    <col min="9" max="9" width="33.375" customWidth="1"/>
  </cols>
  <sheetData>
    <row r="1" spans="1:9" ht="15">
      <c r="B1" s="1" t="s">
        <v>0</v>
      </c>
    </row>
    <row r="2" spans="1:9" ht="15">
      <c r="B2" s="250" t="s">
        <v>370</v>
      </c>
    </row>
    <row r="3" spans="1:9" ht="15">
      <c r="B3" s="7">
        <v>44029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336</v>
      </c>
      <c r="E5" s="9" t="s">
        <v>338</v>
      </c>
      <c r="F5" s="9" t="s">
        <v>2</v>
      </c>
      <c r="G5" s="13"/>
      <c r="H5" s="258" t="s">
        <v>373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337</v>
      </c>
      <c r="E6" s="10" t="s">
        <v>5</v>
      </c>
      <c r="F6" s="10" t="s">
        <v>337</v>
      </c>
      <c r="G6" s="14"/>
      <c r="H6" s="259">
        <v>2021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60"/>
      <c r="I8" s="273"/>
    </row>
    <row r="9" spans="1:9" ht="44.25" customHeight="1">
      <c r="A9" s="15">
        <v>1</v>
      </c>
      <c r="B9" s="151" t="s">
        <v>7</v>
      </c>
      <c r="C9" s="11"/>
      <c r="D9" s="260">
        <v>130570</v>
      </c>
      <c r="E9" s="138"/>
      <c r="F9" s="289">
        <f>D9+E9</f>
        <v>130570</v>
      </c>
      <c r="G9" s="223"/>
      <c r="H9" s="260">
        <v>139167</v>
      </c>
      <c r="I9" s="132" t="s">
        <v>320</v>
      </c>
    </row>
    <row r="10" spans="1:9" ht="24.75" customHeight="1">
      <c r="A10" s="252">
        <v>2</v>
      </c>
      <c r="B10" s="253" t="s">
        <v>272</v>
      </c>
      <c r="C10" s="11"/>
      <c r="D10" s="160">
        <v>300</v>
      </c>
      <c r="E10" s="8"/>
      <c r="F10" s="289">
        <f>D10+E10</f>
        <v>300</v>
      </c>
      <c r="G10" s="223"/>
      <c r="H10" s="260">
        <v>325</v>
      </c>
      <c r="I10" s="275" t="s">
        <v>283</v>
      </c>
    </row>
    <row r="11" spans="1:9" ht="15">
      <c r="A11" s="252">
        <v>3</v>
      </c>
      <c r="B11" s="151" t="s">
        <v>8</v>
      </c>
      <c r="C11" s="162"/>
      <c r="D11" s="162"/>
      <c r="E11" s="162"/>
      <c r="F11" s="162"/>
      <c r="G11" s="226"/>
      <c r="H11" s="276"/>
      <c r="I11" s="276"/>
    </row>
    <row r="12" spans="1:9" s="249" customFormat="1">
      <c r="A12" s="252">
        <v>4</v>
      </c>
      <c r="B12" s="142" t="s">
        <v>269</v>
      </c>
      <c r="C12" s="223"/>
      <c r="D12" s="160">
        <v>8000</v>
      </c>
      <c r="E12" s="222"/>
      <c r="F12" s="289">
        <f>D12+E12</f>
        <v>8000</v>
      </c>
      <c r="G12" s="223"/>
      <c r="H12" s="260">
        <v>8000</v>
      </c>
      <c r="I12" s="275" t="s">
        <v>319</v>
      </c>
    </row>
    <row r="13" spans="1:9" ht="24.75" customHeight="1">
      <c r="A13" s="252">
        <v>5</v>
      </c>
      <c r="B13" s="253" t="s">
        <v>273</v>
      </c>
      <c r="C13" s="11"/>
      <c r="D13" s="160">
        <v>3000</v>
      </c>
      <c r="E13" s="8"/>
      <c r="F13" s="289">
        <f t="shared" ref="F13:F23" si="0">D13+E13</f>
        <v>3000</v>
      </c>
      <c r="G13" s="223"/>
      <c r="H13" s="260">
        <v>3000</v>
      </c>
      <c r="I13" s="275" t="s">
        <v>291</v>
      </c>
    </row>
    <row r="14" spans="1:9" ht="24.75" customHeight="1">
      <c r="A14" s="252">
        <v>6</v>
      </c>
      <c r="B14" s="253" t="s">
        <v>274</v>
      </c>
      <c r="C14" s="11"/>
      <c r="D14" s="160">
        <v>6700</v>
      </c>
      <c r="E14" s="8"/>
      <c r="F14" s="289">
        <f t="shared" si="0"/>
        <v>6700</v>
      </c>
      <c r="G14" s="223"/>
      <c r="H14" s="260">
        <v>6700</v>
      </c>
      <c r="I14" s="275" t="s">
        <v>286</v>
      </c>
    </row>
    <row r="15" spans="1:9" s="249" customFormat="1" ht="61.5" customHeight="1">
      <c r="A15" s="252">
        <v>7</v>
      </c>
      <c r="B15" s="300" t="s">
        <v>332</v>
      </c>
      <c r="C15" s="223"/>
      <c r="D15" s="160">
        <v>49092</v>
      </c>
      <c r="E15" s="222"/>
      <c r="F15" s="289">
        <f t="shared" si="0"/>
        <v>49092</v>
      </c>
      <c r="G15" s="223"/>
      <c r="H15" s="260">
        <v>50083</v>
      </c>
      <c r="I15" s="304" t="s">
        <v>365</v>
      </c>
    </row>
    <row r="16" spans="1:9" s="249" customFormat="1" ht="28.5">
      <c r="A16" s="252">
        <v>8</v>
      </c>
      <c r="B16" s="251" t="s">
        <v>275</v>
      </c>
      <c r="C16" s="223"/>
      <c r="D16" s="160">
        <v>29000</v>
      </c>
      <c r="E16" s="222"/>
      <c r="F16" s="289">
        <f t="shared" si="0"/>
        <v>29000</v>
      </c>
      <c r="G16" s="223"/>
      <c r="H16" s="260">
        <v>31846</v>
      </c>
      <c r="I16" s="132" t="s">
        <v>318</v>
      </c>
    </row>
    <row r="17" spans="1:9" s="249" customFormat="1">
      <c r="A17" s="252">
        <v>9</v>
      </c>
      <c r="B17" s="251" t="s">
        <v>292</v>
      </c>
      <c r="C17" s="223"/>
      <c r="D17" s="160">
        <v>3000</v>
      </c>
      <c r="E17" s="222"/>
      <c r="F17" s="289">
        <f t="shared" si="0"/>
        <v>3000</v>
      </c>
      <c r="G17" s="223"/>
      <c r="H17" s="260">
        <v>3226</v>
      </c>
      <c r="I17" s="274" t="s">
        <v>288</v>
      </c>
    </row>
    <row r="18" spans="1:9" s="249" customFormat="1" ht="28.5">
      <c r="A18" s="252">
        <v>10</v>
      </c>
      <c r="B18" s="251" t="s">
        <v>293</v>
      </c>
      <c r="C18" s="223"/>
      <c r="D18" s="160">
        <v>9200</v>
      </c>
      <c r="E18" s="226"/>
      <c r="F18" s="289">
        <f t="shared" si="0"/>
        <v>9200</v>
      </c>
      <c r="G18" s="223"/>
      <c r="H18" s="260">
        <v>10596</v>
      </c>
      <c r="I18" s="132" t="s">
        <v>294</v>
      </c>
    </row>
    <row r="19" spans="1:9" s="249" customFormat="1">
      <c r="A19" s="252">
        <v>11</v>
      </c>
      <c r="B19" s="253" t="s">
        <v>333</v>
      </c>
      <c r="C19" s="223"/>
      <c r="D19" s="289">
        <v>11023</v>
      </c>
      <c r="E19" s="222"/>
      <c r="F19" s="289">
        <f t="shared" si="0"/>
        <v>11023</v>
      </c>
      <c r="G19" s="223"/>
      <c r="H19" s="260">
        <v>11023</v>
      </c>
      <c r="I19" s="132"/>
    </row>
    <row r="20" spans="1:9" s="249" customFormat="1" ht="28.5">
      <c r="A20" s="252">
        <v>12</v>
      </c>
      <c r="B20" s="253" t="s">
        <v>335</v>
      </c>
      <c r="C20" s="223"/>
      <c r="D20" s="289">
        <v>30000</v>
      </c>
      <c r="E20" s="222"/>
      <c r="F20" s="289">
        <f t="shared" si="0"/>
        <v>30000</v>
      </c>
      <c r="G20" s="223"/>
      <c r="H20" s="260">
        <v>142000</v>
      </c>
      <c r="I20" s="132" t="s">
        <v>364</v>
      </c>
    </row>
    <row r="21" spans="1:9" s="249" customFormat="1">
      <c r="A21" s="252">
        <v>13</v>
      </c>
      <c r="B21" s="253" t="s">
        <v>276</v>
      </c>
      <c r="C21" s="223"/>
      <c r="D21" s="289"/>
      <c r="E21" s="222"/>
      <c r="F21" s="289">
        <f t="shared" si="0"/>
        <v>0</v>
      </c>
      <c r="G21" s="223"/>
      <c r="H21" s="260"/>
      <c r="I21" s="277"/>
    </row>
    <row r="22" spans="1:9" s="249" customFormat="1">
      <c r="A22" s="252">
        <v>14</v>
      </c>
      <c r="B22" s="253" t="s">
        <v>277</v>
      </c>
      <c r="C22" s="223"/>
      <c r="D22" s="289">
        <v>5000</v>
      </c>
      <c r="E22" s="222"/>
      <c r="F22" s="289">
        <f t="shared" si="0"/>
        <v>5000</v>
      </c>
      <c r="G22" s="223"/>
      <c r="H22" s="260">
        <v>0</v>
      </c>
      <c r="I22" s="277" t="s">
        <v>362</v>
      </c>
    </row>
    <row r="23" spans="1:9">
      <c r="A23" s="252">
        <v>15</v>
      </c>
      <c r="B23" s="253" t="s">
        <v>277</v>
      </c>
      <c r="C23" s="223"/>
      <c r="D23" s="289">
        <v>27046</v>
      </c>
      <c r="E23" s="222"/>
      <c r="F23" s="289">
        <f t="shared" si="0"/>
        <v>27046</v>
      </c>
      <c r="G23" s="223"/>
      <c r="H23" s="260">
        <v>0</v>
      </c>
      <c r="I23" s="277" t="s">
        <v>363</v>
      </c>
    </row>
    <row r="24" spans="1:9" ht="24.75" customHeight="1">
      <c r="A24" s="252">
        <v>16</v>
      </c>
      <c r="B24" s="151" t="s">
        <v>9</v>
      </c>
      <c r="C24" s="162"/>
      <c r="D24" s="261"/>
      <c r="E24" s="162"/>
      <c r="F24" s="162"/>
      <c r="G24" s="226"/>
      <c r="H24" s="269"/>
      <c r="I24" s="276"/>
    </row>
    <row r="25" spans="1:9" ht="63.75">
      <c r="A25" s="252">
        <v>17</v>
      </c>
      <c r="B25" s="21" t="s">
        <v>278</v>
      </c>
      <c r="C25" s="11"/>
      <c r="D25" s="260">
        <v>290000</v>
      </c>
      <c r="E25" s="222"/>
      <c r="F25" s="289">
        <f>D25+E25</f>
        <v>290000</v>
      </c>
      <c r="G25" s="223"/>
      <c r="H25" s="260">
        <v>290000</v>
      </c>
      <c r="I25" s="278" t="s">
        <v>334</v>
      </c>
    </row>
    <row r="26" spans="1:9" s="249" customFormat="1" ht="24.75" customHeight="1">
      <c r="A26" s="252">
        <v>18</v>
      </c>
      <c r="B26" s="21" t="s">
        <v>285</v>
      </c>
      <c r="C26" s="223"/>
      <c r="D26" s="160">
        <v>3500</v>
      </c>
      <c r="E26" s="222"/>
      <c r="F26" s="289">
        <f>D26+E26</f>
        <v>3500</v>
      </c>
      <c r="G26" s="223"/>
      <c r="H26" s="260">
        <v>3500</v>
      </c>
      <c r="I26" s="278" t="s">
        <v>324</v>
      </c>
    </row>
    <row r="27" spans="1:9" ht="24.75" customHeight="1">
      <c r="A27" s="252">
        <v>19</v>
      </c>
      <c r="B27" s="151" t="s">
        <v>10</v>
      </c>
      <c r="C27" s="162"/>
      <c r="D27" s="186"/>
      <c r="E27" s="162"/>
      <c r="F27" s="162"/>
      <c r="G27" s="226"/>
      <c r="H27" s="269"/>
      <c r="I27" s="276"/>
    </row>
    <row r="28" spans="1:9" ht="19.5" customHeight="1">
      <c r="A28" s="252">
        <v>20</v>
      </c>
      <c r="B28" s="21" t="s">
        <v>271</v>
      </c>
      <c r="C28" s="11"/>
      <c r="D28" s="160">
        <v>1000</v>
      </c>
      <c r="E28" s="226"/>
      <c r="F28" s="289">
        <f>D28+E28</f>
        <v>1000</v>
      </c>
      <c r="G28" s="223"/>
      <c r="H28" s="260">
        <v>1000</v>
      </c>
      <c r="I28" s="273" t="s">
        <v>279</v>
      </c>
    </row>
    <row r="29" spans="1:9" ht="25.5">
      <c r="A29" s="252">
        <v>21</v>
      </c>
      <c r="B29" s="21" t="s">
        <v>11</v>
      </c>
      <c r="C29" s="11"/>
      <c r="D29" s="160">
        <v>10000</v>
      </c>
      <c r="E29" s="222"/>
      <c r="F29" s="289">
        <f>D29+E29</f>
        <v>10000</v>
      </c>
      <c r="G29" s="223"/>
      <c r="H29" s="260">
        <v>10000</v>
      </c>
      <c r="I29" s="273" t="s">
        <v>307</v>
      </c>
    </row>
    <row r="30" spans="1:9" ht="24.75" customHeight="1">
      <c r="A30" s="252">
        <v>22</v>
      </c>
      <c r="B30" s="151" t="s">
        <v>12</v>
      </c>
      <c r="C30" s="162"/>
      <c r="D30" s="186"/>
      <c r="E30" s="162"/>
      <c r="F30" s="162"/>
      <c r="G30" s="226"/>
      <c r="H30" s="269"/>
      <c r="I30" s="276"/>
    </row>
    <row r="31" spans="1:9" ht="24.75" customHeight="1">
      <c r="A31" s="252">
        <v>23</v>
      </c>
      <c r="B31" s="21" t="s">
        <v>13</v>
      </c>
      <c r="C31" s="11"/>
      <c r="D31" s="160">
        <v>3000</v>
      </c>
      <c r="E31" s="226"/>
      <c r="F31" s="289">
        <f>D31+E31</f>
        <v>3000</v>
      </c>
      <c r="G31" s="223"/>
      <c r="H31" s="260">
        <v>3000</v>
      </c>
      <c r="I31" s="273" t="s">
        <v>280</v>
      </c>
    </row>
    <row r="32" spans="1:9" ht="24.75" customHeight="1">
      <c r="A32" s="252">
        <v>24</v>
      </c>
      <c r="B32" s="21" t="s">
        <v>14</v>
      </c>
      <c r="C32" s="11"/>
      <c r="D32" s="160">
        <v>39520</v>
      </c>
      <c r="E32" s="226"/>
      <c r="F32" s="289">
        <f>D32+E32</f>
        <v>39520</v>
      </c>
      <c r="G32" s="223"/>
      <c r="H32" s="260">
        <v>40000</v>
      </c>
      <c r="I32" s="273" t="s">
        <v>308</v>
      </c>
    </row>
    <row r="33" spans="1:9" ht="24.75" customHeight="1">
      <c r="A33" s="252">
        <v>25</v>
      </c>
      <c r="B33" s="22" t="s">
        <v>15</v>
      </c>
      <c r="C33" s="11"/>
      <c r="D33" s="160">
        <v>5000</v>
      </c>
      <c r="E33" s="222"/>
      <c r="F33" s="289">
        <f>D33+E33</f>
        <v>5000</v>
      </c>
      <c r="G33" s="223"/>
      <c r="H33" s="260">
        <v>5000</v>
      </c>
      <c r="I33" s="273"/>
    </row>
    <row r="34" spans="1:9" ht="24.75" customHeight="1">
      <c r="A34" s="252">
        <v>26</v>
      </c>
      <c r="B34" s="151" t="s">
        <v>16</v>
      </c>
      <c r="C34" s="162"/>
      <c r="D34" s="186"/>
      <c r="E34" s="162"/>
      <c r="F34" s="162"/>
      <c r="G34" s="226"/>
      <c r="H34" s="269"/>
      <c r="I34" s="276"/>
    </row>
    <row r="35" spans="1:9" ht="39">
      <c r="A35" s="252">
        <v>27</v>
      </c>
      <c r="B35" s="161" t="s">
        <v>17</v>
      </c>
      <c r="C35" s="11"/>
      <c r="D35" s="260">
        <v>106995</v>
      </c>
      <c r="E35" s="226"/>
      <c r="F35" s="289">
        <f t="shared" ref="F35:F39" si="1">D35+E35</f>
        <v>106995</v>
      </c>
      <c r="G35" s="223"/>
      <c r="H35" s="260">
        <v>113165</v>
      </c>
      <c r="I35" s="273" t="s">
        <v>309</v>
      </c>
    </row>
    <row r="36" spans="1:9" ht="34.5" customHeight="1">
      <c r="A36" s="252">
        <v>28</v>
      </c>
      <c r="B36" s="22" t="s">
        <v>18</v>
      </c>
      <c r="C36" s="12"/>
      <c r="D36" s="160">
        <v>33000</v>
      </c>
      <c r="E36" s="226"/>
      <c r="F36" s="289">
        <f t="shared" si="1"/>
        <v>33000</v>
      </c>
      <c r="G36" s="223"/>
      <c r="H36" s="160">
        <v>36000</v>
      </c>
      <c r="I36" s="273" t="s">
        <v>366</v>
      </c>
    </row>
    <row r="37" spans="1:9" s="249" customFormat="1" ht="34.5" customHeight="1">
      <c r="A37" s="252">
        <v>29</v>
      </c>
      <c r="B37" s="22" t="s">
        <v>322</v>
      </c>
      <c r="C37" s="12"/>
      <c r="D37" s="160">
        <v>18000</v>
      </c>
      <c r="E37" s="226"/>
      <c r="F37" s="289">
        <f t="shared" si="1"/>
        <v>18000</v>
      </c>
      <c r="G37" s="223"/>
      <c r="H37" s="160">
        <v>18000</v>
      </c>
      <c r="I37" s="273" t="s">
        <v>367</v>
      </c>
    </row>
    <row r="38" spans="1:9" ht="15" customHeight="1">
      <c r="A38" s="252">
        <v>30</v>
      </c>
      <c r="B38" s="22" t="s">
        <v>258</v>
      </c>
      <c r="C38" s="12"/>
      <c r="D38" s="160">
        <v>10000</v>
      </c>
      <c r="E38" s="160"/>
      <c r="F38" s="289">
        <f t="shared" si="1"/>
        <v>10000</v>
      </c>
      <c r="G38" s="223"/>
      <c r="H38" s="160">
        <v>12000</v>
      </c>
      <c r="I38" s="273" t="s">
        <v>368</v>
      </c>
    </row>
    <row r="39" spans="1:9" ht="51" customHeight="1">
      <c r="A39" s="252">
        <v>31</v>
      </c>
      <c r="B39" s="22" t="s">
        <v>287</v>
      </c>
      <c r="C39" s="12"/>
      <c r="D39" s="160">
        <v>20000</v>
      </c>
      <c r="E39" s="227"/>
      <c r="F39" s="289">
        <f t="shared" si="1"/>
        <v>20000</v>
      </c>
      <c r="G39" s="223"/>
      <c r="H39" s="160">
        <v>15000</v>
      </c>
      <c r="I39" s="273" t="s">
        <v>369</v>
      </c>
    </row>
    <row r="40" spans="1:9" ht="24.75" customHeight="1">
      <c r="A40" s="252">
        <v>32</v>
      </c>
      <c r="B40" s="163" t="s">
        <v>19</v>
      </c>
      <c r="C40" s="12"/>
      <c r="D40" s="186">
        <f>SUM(D35:D39)</f>
        <v>187995</v>
      </c>
      <c r="E40" s="186"/>
      <c r="F40" s="186">
        <f>SUM(F35:F39)</f>
        <v>187995</v>
      </c>
      <c r="G40" s="12"/>
      <c r="H40" s="269">
        <f>SUM(H35:H39)</f>
        <v>194165</v>
      </c>
      <c r="I40" s="276"/>
    </row>
    <row r="41" spans="1:9" ht="24.75" customHeight="1">
      <c r="A41" s="252">
        <v>33</v>
      </c>
      <c r="B41" s="151" t="s">
        <v>20</v>
      </c>
      <c r="C41" s="162"/>
      <c r="D41" s="162"/>
      <c r="E41" s="162"/>
      <c r="F41" s="162"/>
      <c r="G41" s="162"/>
      <c r="H41" s="270"/>
      <c r="I41" s="276"/>
    </row>
    <row r="42" spans="1:9">
      <c r="A42" s="252">
        <v>34</v>
      </c>
      <c r="B42" s="22" t="s">
        <v>21</v>
      </c>
      <c r="C42" s="11"/>
      <c r="D42" s="226"/>
      <c r="E42" s="226"/>
      <c r="F42" s="222"/>
      <c r="G42" s="11"/>
      <c r="H42" s="285"/>
      <c r="I42" s="280" t="s">
        <v>343</v>
      </c>
    </row>
    <row r="43" spans="1:9">
      <c r="A43" s="252">
        <v>35</v>
      </c>
      <c r="B43" s="22" t="s">
        <v>22</v>
      </c>
      <c r="C43" s="11"/>
      <c r="D43" s="226"/>
      <c r="E43" s="222"/>
      <c r="F43" s="222"/>
      <c r="G43" s="11"/>
      <c r="H43" s="285"/>
      <c r="I43" s="280" t="s">
        <v>344</v>
      </c>
    </row>
    <row r="44" spans="1:9">
      <c r="A44" s="252">
        <v>36</v>
      </c>
      <c r="B44" s="22" t="s">
        <v>23</v>
      </c>
      <c r="C44" s="11"/>
      <c r="D44" s="226"/>
      <c r="E44" s="222"/>
      <c r="F44" s="222"/>
      <c r="G44" s="11"/>
      <c r="H44" s="285"/>
      <c r="I44" s="280" t="s">
        <v>345</v>
      </c>
    </row>
    <row r="45" spans="1:9" ht="24.75" customHeight="1">
      <c r="A45" s="252">
        <v>37</v>
      </c>
      <c r="B45" s="22" t="s">
        <v>24</v>
      </c>
      <c r="C45" s="11"/>
      <c r="D45" s="76">
        <v>32046</v>
      </c>
      <c r="E45" s="76">
        <v>0</v>
      </c>
      <c r="F45" s="76">
        <f t="shared" ref="F45" si="2">D45+E45</f>
        <v>32046</v>
      </c>
      <c r="G45" s="11"/>
      <c r="H45" s="271">
        <v>65000</v>
      </c>
      <c r="I45" s="281"/>
    </row>
    <row r="46" spans="1:9" ht="24.75" customHeight="1" thickBot="1">
      <c r="A46" s="252">
        <v>38</v>
      </c>
      <c r="B46" s="23"/>
      <c r="C46" s="18"/>
      <c r="D46" s="262"/>
      <c r="E46" s="17"/>
      <c r="F46" s="17"/>
      <c r="G46" s="18"/>
      <c r="H46" s="285"/>
      <c r="I46" s="282"/>
    </row>
    <row r="47" spans="1:9" ht="22.5" customHeight="1" thickBot="1">
      <c r="A47" s="252">
        <v>39</v>
      </c>
      <c r="B47" s="82" t="s">
        <v>25</v>
      </c>
      <c r="C47" s="83"/>
      <c r="D47" s="288">
        <f>SUM(D9:D39)-D45</f>
        <v>819900</v>
      </c>
      <c r="E47" s="150">
        <f>SUM(E9:E39)-E45</f>
        <v>0</v>
      </c>
      <c r="F47" s="150">
        <f>SUM(F9:F39)-F45</f>
        <v>819900</v>
      </c>
      <c r="G47" s="83"/>
      <c r="H47" s="291">
        <f>SUM(H9:H39)-H45</f>
        <v>887631</v>
      </c>
      <c r="I47" s="283" t="s">
        <v>26</v>
      </c>
    </row>
    <row r="48" spans="1:9" ht="15" customHeight="1">
      <c r="A48" s="252">
        <v>40</v>
      </c>
      <c r="B48" s="26"/>
      <c r="C48" s="20"/>
      <c r="D48" s="263"/>
      <c r="E48" s="19"/>
      <c r="F48" s="19"/>
      <c r="G48" s="20"/>
      <c r="H48" s="285"/>
      <c r="I48" s="284"/>
    </row>
    <row r="49" spans="1:9" ht="24.75" customHeight="1">
      <c r="A49" s="252">
        <v>41</v>
      </c>
      <c r="B49" s="24" t="s">
        <v>270</v>
      </c>
      <c r="C49" s="11"/>
      <c r="D49" s="264">
        <v>224000</v>
      </c>
      <c r="E49" s="8"/>
      <c r="F49" s="175">
        <v>224000</v>
      </c>
      <c r="G49" s="11"/>
      <c r="H49" s="264">
        <v>224000</v>
      </c>
      <c r="I49" s="279"/>
    </row>
    <row r="50" spans="1:9" ht="15.75" customHeight="1" thickBot="1">
      <c r="A50" s="252">
        <v>42</v>
      </c>
      <c r="B50" s="24"/>
      <c r="C50" s="11"/>
      <c r="D50" s="260"/>
      <c r="E50" s="8"/>
      <c r="F50" s="8"/>
      <c r="G50" s="11"/>
      <c r="H50" s="268"/>
      <c r="I50" s="8"/>
    </row>
    <row r="51" spans="1:9" ht="24.75" customHeight="1" thickBot="1">
      <c r="A51" s="252">
        <v>43</v>
      </c>
      <c r="B51" s="25" t="s">
        <v>27</v>
      </c>
      <c r="C51" s="126"/>
      <c r="D51" s="265"/>
      <c r="E51" s="248"/>
      <c r="F51" s="143">
        <f>Carryover!C126</f>
        <v>80764.579999999973</v>
      </c>
      <c r="G51" s="126"/>
      <c r="H51" s="290">
        <f>F51-H45</f>
        <v>15764.579999999973</v>
      </c>
      <c r="I51" s="132" t="s">
        <v>28</v>
      </c>
    </row>
    <row r="52" spans="1:9" ht="24.75" customHeight="1">
      <c r="A52" s="252"/>
      <c r="B52" s="21"/>
      <c r="C52" s="11"/>
      <c r="D52" s="19"/>
      <c r="E52" s="19"/>
      <c r="F52" s="19"/>
      <c r="G52" s="11"/>
      <c r="H52" s="272"/>
      <c r="I52" s="8"/>
    </row>
    <row r="53" spans="1:9" ht="6.75" customHeight="1"/>
    <row r="59" spans="1:9" ht="15">
      <c r="A59" s="1"/>
    </row>
    <row r="61" spans="1:9" ht="15">
      <c r="B61" s="1"/>
    </row>
    <row r="72" spans="2:2" ht="24.75" customHeight="1">
      <c r="B72" s="1"/>
    </row>
    <row r="73" spans="2:2" ht="29.25" customHeight="1"/>
    <row r="77" spans="2:2" ht="24" customHeight="1">
      <c r="B77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r:id="rId1"/>
  <headerFooter>
    <oddHeader>&amp;C&amp;K0000002021 Approved MORE Budget</oddHeader>
    <oddFooter>&amp;CPage &amp;P&amp;R2021 Approved MORE Budget.xlsx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F132"/>
  <sheetViews>
    <sheetView showRuler="0" topLeftCell="A7" zoomScale="83" zoomScaleNormal="83" workbookViewId="0">
      <selection activeCell="H129" sqref="H129"/>
    </sheetView>
  </sheetViews>
  <sheetFormatPr defaultColWidth="8.75" defaultRowHeight="14.25"/>
  <cols>
    <col min="1" max="1" width="5.125" customWidth="1"/>
    <col min="2" max="2" width="41.7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301"/>
    </row>
    <row r="4" spans="1:6" ht="15">
      <c r="E4" s="301"/>
    </row>
    <row r="5" spans="1:6" s="249" customFormat="1" ht="15">
      <c r="E5" s="301" t="s">
        <v>237</v>
      </c>
    </row>
    <row r="6" spans="1:6" s="249" customFormat="1" ht="15">
      <c r="E6" s="301" t="s">
        <v>360</v>
      </c>
    </row>
    <row r="7" spans="1:6" ht="15">
      <c r="A7" s="1" t="s">
        <v>29</v>
      </c>
      <c r="E7" s="184" t="s">
        <v>361</v>
      </c>
    </row>
    <row r="8" spans="1:6" ht="15.75" thickBot="1">
      <c r="E8" s="184" t="s">
        <v>30</v>
      </c>
      <c r="F8" s="187" t="s">
        <v>31</v>
      </c>
    </row>
    <row r="9" spans="1:6" ht="15.75" hidden="1" thickBot="1">
      <c r="B9" s="1" t="s">
        <v>32</v>
      </c>
      <c r="C9" s="128">
        <v>490267.7</v>
      </c>
      <c r="F9" s="177">
        <v>300000</v>
      </c>
    </row>
    <row r="10" spans="1:6" hidden="1">
      <c r="B10" t="s">
        <v>33</v>
      </c>
      <c r="C10" s="129">
        <v>-300000</v>
      </c>
    </row>
    <row r="11" spans="1:6" hidden="1">
      <c r="B11" t="s">
        <v>34</v>
      </c>
      <c r="C11" s="129">
        <v>-46260</v>
      </c>
    </row>
    <row r="12" spans="1:6" hidden="1">
      <c r="B12" t="s">
        <v>35</v>
      </c>
      <c r="C12" s="129">
        <v>43000</v>
      </c>
    </row>
    <row r="13" spans="1:6" hidden="1">
      <c r="B13" t="s">
        <v>36</v>
      </c>
      <c r="C13" s="129">
        <v>18000</v>
      </c>
    </row>
    <row r="14" spans="1:6" hidden="1">
      <c r="B14" t="s">
        <v>37</v>
      </c>
      <c r="C14" s="130">
        <v>27000</v>
      </c>
    </row>
    <row r="15" spans="1:6" hidden="1">
      <c r="B15" t="s">
        <v>38</v>
      </c>
      <c r="C15" s="130">
        <v>18000</v>
      </c>
    </row>
    <row r="16" spans="1:6" hidden="1">
      <c r="B16" t="s">
        <v>39</v>
      </c>
      <c r="C16" s="130">
        <v>27000</v>
      </c>
    </row>
    <row r="17" spans="2:5" hidden="1">
      <c r="B17" t="s">
        <v>40</v>
      </c>
      <c r="C17" s="130">
        <v>-32950</v>
      </c>
    </row>
    <row r="18" spans="2:5" hidden="1">
      <c r="B18" t="s">
        <v>41</v>
      </c>
      <c r="C18" s="130">
        <v>-6544</v>
      </c>
    </row>
    <row r="19" spans="2:5" ht="15" hidden="1" thickBot="1">
      <c r="B19" t="s">
        <v>42</v>
      </c>
      <c r="C19" s="130">
        <v>30177.18</v>
      </c>
    </row>
    <row r="20" spans="2:5" ht="24.75" hidden="1" customHeight="1" thickBot="1">
      <c r="B20" s="1" t="s">
        <v>43</v>
      </c>
      <c r="C20" s="127">
        <f>SUM(C9:C19)</f>
        <v>267690.88</v>
      </c>
      <c r="E20" s="127">
        <f>C20+300000</f>
        <v>567690.88</v>
      </c>
    </row>
    <row r="21" spans="2:5" ht="29.25" hidden="1" customHeight="1">
      <c r="B21" t="s">
        <v>44</v>
      </c>
      <c r="C21" s="125">
        <v>-104250</v>
      </c>
    </row>
    <row r="22" spans="2:5" hidden="1">
      <c r="B22" t="s">
        <v>45</v>
      </c>
      <c r="C22" s="129">
        <v>-4853</v>
      </c>
    </row>
    <row r="23" spans="2:5" hidden="1">
      <c r="B23" t="s">
        <v>46</v>
      </c>
      <c r="C23" s="129">
        <v>31500</v>
      </c>
    </row>
    <row r="24" spans="2:5" hidden="1">
      <c r="B24" t="s">
        <v>47</v>
      </c>
      <c r="C24" s="129">
        <v>27000</v>
      </c>
    </row>
    <row r="25" spans="2:5" hidden="1">
      <c r="B25" t="s">
        <v>40</v>
      </c>
      <c r="C25" s="129">
        <v>-23507</v>
      </c>
    </row>
    <row r="26" spans="2:5" hidden="1">
      <c r="B26" t="s">
        <v>48</v>
      </c>
      <c r="C26" s="129">
        <v>-3029</v>
      </c>
    </row>
    <row r="27" spans="2:5" ht="15" hidden="1" thickBot="1">
      <c r="B27" t="s">
        <v>49</v>
      </c>
      <c r="C27" s="129">
        <v>-27524.5</v>
      </c>
    </row>
    <row r="28" spans="2:5" ht="24" hidden="1" customHeight="1" thickBot="1">
      <c r="B28" s="50" t="s">
        <v>50</v>
      </c>
      <c r="C28" s="127">
        <f>SUM(C20:C27)</f>
        <v>163027.38</v>
      </c>
      <c r="E28" s="127">
        <f>C28+300000</f>
        <v>463027.38</v>
      </c>
    </row>
    <row r="29" spans="2:5" ht="31.5" hidden="1" customHeight="1">
      <c r="B29" t="s">
        <v>51</v>
      </c>
      <c r="C29" s="131">
        <f>-5918-12500-1294.81-259-3500</f>
        <v>-23471.81</v>
      </c>
    </row>
    <row r="30" spans="2:5" hidden="1">
      <c r="B30" t="s">
        <v>52</v>
      </c>
      <c r="C30" s="129">
        <v>-6312</v>
      </c>
      <c r="D30" t="s">
        <v>53</v>
      </c>
    </row>
    <row r="31" spans="2:5" hidden="1">
      <c r="B31" t="s">
        <v>54</v>
      </c>
      <c r="C31" s="129">
        <v>40500</v>
      </c>
      <c r="D31" t="s">
        <v>55</v>
      </c>
    </row>
    <row r="32" spans="2:5" hidden="1">
      <c r="B32" t="s">
        <v>56</v>
      </c>
      <c r="C32" s="129">
        <v>18000</v>
      </c>
      <c r="D32" t="s">
        <v>55</v>
      </c>
    </row>
    <row r="33" spans="2:5" hidden="1">
      <c r="B33" t="s">
        <v>57</v>
      </c>
      <c r="C33" s="129">
        <v>31500</v>
      </c>
      <c r="D33" t="s">
        <v>58</v>
      </c>
      <c r="E33" s="133" t="s">
        <v>59</v>
      </c>
    </row>
    <row r="34" spans="2:5" hidden="1">
      <c r="B34" t="s">
        <v>60</v>
      </c>
      <c r="C34" s="129">
        <v>18000</v>
      </c>
      <c r="D34" t="s">
        <v>55</v>
      </c>
    </row>
    <row r="35" spans="2:5" hidden="1">
      <c r="B35" t="s">
        <v>61</v>
      </c>
      <c r="C35" s="129">
        <v>54000</v>
      </c>
      <c r="D35" t="s">
        <v>55</v>
      </c>
    </row>
    <row r="36" spans="2:5" hidden="1">
      <c r="B36" t="s">
        <v>62</v>
      </c>
      <c r="C36" s="129">
        <v>13500</v>
      </c>
      <c r="D36" t="s">
        <v>63</v>
      </c>
    </row>
    <row r="37" spans="2:5" hidden="1">
      <c r="B37" t="s">
        <v>64</v>
      </c>
      <c r="C37" s="129">
        <v>-117625</v>
      </c>
    </row>
    <row r="38" spans="2:5" hidden="1">
      <c r="B38" t="s">
        <v>40</v>
      </c>
      <c r="C38" s="129">
        <f>-18750-6750-6750-1462.5</f>
        <v>-33712.5</v>
      </c>
    </row>
    <row r="39" spans="2:5" hidden="1">
      <c r="B39" t="s">
        <v>48</v>
      </c>
      <c r="C39" s="129">
        <f>-11017.27-1150.34</f>
        <v>-12167.61</v>
      </c>
    </row>
    <row r="40" spans="2:5" hidden="1">
      <c r="B40" t="s">
        <v>65</v>
      </c>
      <c r="C40" s="129">
        <v>-3376.25</v>
      </c>
    </row>
    <row r="41" spans="2:5" hidden="1">
      <c r="B41" t="s">
        <v>66</v>
      </c>
      <c r="C41" s="129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50" t="s">
        <v>68</v>
      </c>
      <c r="C43" s="127">
        <f>SUM(C28:C42)</f>
        <v>133477.70000000001</v>
      </c>
      <c r="E43" s="127">
        <f>C43+300000</f>
        <v>433477.7</v>
      </c>
    </row>
    <row r="44" spans="2:5" ht="29.25" hidden="1" customHeight="1">
      <c r="B44" t="s">
        <v>69</v>
      </c>
      <c r="C44" s="131">
        <f>-13125-79875-9000</f>
        <v>-102000</v>
      </c>
    </row>
    <row r="45" spans="2:5" hidden="1">
      <c r="B45" t="s">
        <v>70</v>
      </c>
      <c r="C45" s="129">
        <v>-18286.02</v>
      </c>
    </row>
    <row r="46" spans="2:5" hidden="1">
      <c r="B46" t="s">
        <v>71</v>
      </c>
      <c r="C46" s="129">
        <v>-3623.75</v>
      </c>
    </row>
    <row r="47" spans="2:5" hidden="1">
      <c r="B47" t="s">
        <v>72</v>
      </c>
      <c r="C47" s="129">
        <v>88678</v>
      </c>
    </row>
    <row r="48" spans="2:5" hidden="1">
      <c r="B48" t="s">
        <v>73</v>
      </c>
      <c r="C48" s="129">
        <v>-20825</v>
      </c>
    </row>
    <row r="49" spans="2:6" hidden="1">
      <c r="B49" t="s">
        <v>74</v>
      </c>
      <c r="C49" s="129">
        <v>-2125</v>
      </c>
    </row>
    <row r="50" spans="2:6" hidden="1">
      <c r="B50" t="s">
        <v>75</v>
      </c>
      <c r="C50" s="129">
        <v>-877.94</v>
      </c>
    </row>
    <row r="51" spans="2:6" hidden="1">
      <c r="B51" t="s">
        <v>76</v>
      </c>
      <c r="C51" s="129">
        <v>-3000</v>
      </c>
    </row>
    <row r="52" spans="2:6" hidden="1">
      <c r="B52" t="s">
        <v>77</v>
      </c>
      <c r="C52" s="129">
        <v>-15000</v>
      </c>
    </row>
    <row r="53" spans="2:6" ht="15" hidden="1" thickBot="1">
      <c r="B53" t="s">
        <v>78</v>
      </c>
      <c r="C53" s="129">
        <v>11626.97</v>
      </c>
    </row>
    <row r="54" spans="2:6" ht="30.75" hidden="1" customHeight="1" thickBot="1">
      <c r="B54" s="50" t="s">
        <v>79</v>
      </c>
      <c r="C54" s="127">
        <f>SUM(C43:C53)</f>
        <v>68044.960000000006</v>
      </c>
      <c r="E54" s="127">
        <f>C54+300000</f>
        <v>368044.96</v>
      </c>
      <c r="F54" s="177">
        <v>300000</v>
      </c>
    </row>
    <row r="55" spans="2:6" ht="28.5" hidden="1" customHeight="1">
      <c r="B55" t="s">
        <v>80</v>
      </c>
      <c r="C55" s="131">
        <v>-40850</v>
      </c>
    </row>
    <row r="56" spans="2:6" hidden="1">
      <c r="B56" t="s">
        <v>72</v>
      </c>
      <c r="C56" s="129">
        <v>30678</v>
      </c>
    </row>
    <row r="57" spans="2:6" hidden="1">
      <c r="B57" t="s">
        <v>81</v>
      </c>
      <c r="C57" s="129">
        <v>13500</v>
      </c>
    </row>
    <row r="58" spans="2:6" hidden="1">
      <c r="B58" t="s">
        <v>82</v>
      </c>
      <c r="C58" s="157">
        <v>-4950</v>
      </c>
    </row>
    <row r="59" spans="2:6" ht="15" hidden="1" thickBot="1">
      <c r="B59" t="s">
        <v>83</v>
      </c>
      <c r="C59" s="157">
        <v>5394.93</v>
      </c>
      <c r="F59" s="187" t="s">
        <v>31</v>
      </c>
    </row>
    <row r="60" spans="2:6" ht="30.75" hidden="1" customHeight="1" thickBot="1">
      <c r="B60" s="50" t="s">
        <v>84</v>
      </c>
      <c r="C60" s="127">
        <f>SUM(C54:C59)</f>
        <v>71817.890000000014</v>
      </c>
      <c r="E60" s="127">
        <f>C60+300000</f>
        <v>371817.89</v>
      </c>
      <c r="F60" s="177">
        <v>300000</v>
      </c>
    </row>
    <row r="61" spans="2:6" ht="27.75" hidden="1" customHeight="1"/>
    <row r="62" spans="2:6" hidden="1">
      <c r="B62" t="s">
        <v>85</v>
      </c>
      <c r="C62" s="131">
        <v>-14000</v>
      </c>
    </row>
    <row r="63" spans="2:6" hidden="1">
      <c r="B63" t="s">
        <v>86</v>
      </c>
      <c r="C63" s="125">
        <v>27000</v>
      </c>
    </row>
    <row r="64" spans="2:6" hidden="1">
      <c r="B64" t="s">
        <v>87</v>
      </c>
      <c r="C64" s="125">
        <v>36000</v>
      </c>
    </row>
    <row r="65" spans="2:6" hidden="1">
      <c r="B65" t="s">
        <v>88</v>
      </c>
      <c r="C65" s="125">
        <v>-7500</v>
      </c>
    </row>
    <row r="66" spans="2:6" hidden="1">
      <c r="B66" t="s">
        <v>89</v>
      </c>
      <c r="C66" s="125">
        <v>-7500</v>
      </c>
    </row>
    <row r="67" spans="2:6" hidden="1">
      <c r="B67" t="s">
        <v>90</v>
      </c>
      <c r="C67" s="129">
        <v>-944</v>
      </c>
    </row>
    <row r="68" spans="2:6" ht="15" hidden="1" thickBot="1">
      <c r="B68" s="188" t="s">
        <v>91</v>
      </c>
      <c r="C68" s="176">
        <v>-25401.83</v>
      </c>
      <c r="E68" s="178"/>
      <c r="F68" s="187" t="s">
        <v>31</v>
      </c>
    </row>
    <row r="69" spans="2:6" ht="30.75" hidden="1" customHeight="1" thickBot="1">
      <c r="B69" s="224" t="s">
        <v>265</v>
      </c>
      <c r="C69" s="127">
        <f>E60-F60+SUM(C62:C68)</f>
        <v>79472.060000000012</v>
      </c>
      <c r="E69" s="127">
        <f>C69+298509</f>
        <v>377981.06</v>
      </c>
      <c r="F69" s="177">
        <v>280317</v>
      </c>
    </row>
    <row r="70" spans="2:6" ht="27.75" hidden="1" customHeight="1"/>
    <row r="71" spans="2:6" hidden="1">
      <c r="B71" t="s">
        <v>92</v>
      </c>
      <c r="C71" s="131">
        <v>0</v>
      </c>
    </row>
    <row r="72" spans="2:6" hidden="1">
      <c r="B72" t="s">
        <v>93</v>
      </c>
      <c r="C72" s="125">
        <v>12000</v>
      </c>
    </row>
    <row r="73" spans="2:6" hidden="1">
      <c r="B73" t="s">
        <v>94</v>
      </c>
      <c r="C73" s="129">
        <v>-6496</v>
      </c>
    </row>
    <row r="74" spans="2:6" hidden="1">
      <c r="B74" s="188" t="s">
        <v>95</v>
      </c>
      <c r="C74" s="129">
        <v>-11596</v>
      </c>
      <c r="E74" s="178"/>
      <c r="F74" s="187"/>
    </row>
    <row r="75" spans="2:6" ht="15" hidden="1" thickBot="1">
      <c r="B75" s="188" t="s">
        <v>96</v>
      </c>
      <c r="C75" s="129">
        <f>19783.51-4975</f>
        <v>14808.509999999998</v>
      </c>
      <c r="E75" s="178"/>
      <c r="F75" s="187" t="s">
        <v>31</v>
      </c>
    </row>
    <row r="76" spans="2:6" ht="30.75" hidden="1" customHeight="1" thickBot="1">
      <c r="B76" s="224" t="s">
        <v>266</v>
      </c>
      <c r="C76" s="127">
        <f>E69-F69+SUM(C71:C75)</f>
        <v>106380.56999999999</v>
      </c>
      <c r="E76" s="127">
        <f>C76+F76</f>
        <v>306380.57</v>
      </c>
      <c r="F76" s="177">
        <v>200000</v>
      </c>
    </row>
    <row r="77" spans="2:6" ht="27.75" hidden="1" customHeight="1"/>
    <row r="78" spans="2:6" hidden="1">
      <c r="B78" t="s">
        <v>97</v>
      </c>
      <c r="C78" s="131">
        <v>-29950</v>
      </c>
    </row>
    <row r="79" spans="2:6" hidden="1">
      <c r="B79" t="s">
        <v>93</v>
      </c>
      <c r="C79" s="125">
        <v>6000</v>
      </c>
    </row>
    <row r="80" spans="2:6" hidden="1">
      <c r="B80" t="s">
        <v>98</v>
      </c>
      <c r="C80" s="129">
        <v>0</v>
      </c>
    </row>
    <row r="81" spans="2:6" ht="15" hidden="1" thickBot="1">
      <c r="B81" s="249" t="s">
        <v>260</v>
      </c>
      <c r="C81" s="129">
        <v>33048.75</v>
      </c>
      <c r="E81" s="178"/>
      <c r="F81" s="187" t="s">
        <v>31</v>
      </c>
    </row>
    <row r="82" spans="2:6" ht="30.75" hidden="1" customHeight="1" thickBot="1">
      <c r="B82" s="224" t="s">
        <v>267</v>
      </c>
      <c r="C82" s="127">
        <f>SUM(C76:C81)</f>
        <v>115479.31999999999</v>
      </c>
      <c r="E82" s="127">
        <f>C82+F82</f>
        <v>315479.32</v>
      </c>
      <c r="F82" s="177">
        <v>200000</v>
      </c>
    </row>
    <row r="83" spans="2:6" ht="27.75" hidden="1" customHeight="1"/>
    <row r="84" spans="2:6" hidden="1">
      <c r="B84" s="246" t="s">
        <v>263</v>
      </c>
      <c r="C84" s="131">
        <v>-32500</v>
      </c>
    </row>
    <row r="85" spans="2:6" s="249" customFormat="1" hidden="1">
      <c r="B85" s="246" t="s">
        <v>264</v>
      </c>
      <c r="C85" s="247">
        <v>-2300.44</v>
      </c>
    </row>
    <row r="86" spans="2:6" s="249" customFormat="1" hidden="1">
      <c r="B86" s="249" t="s">
        <v>268</v>
      </c>
      <c r="C86" s="247">
        <f>-12000+0</f>
        <v>-12000</v>
      </c>
    </row>
    <row r="87" spans="2:6" hidden="1">
      <c r="B87" s="249" t="s">
        <v>262</v>
      </c>
      <c r="C87" s="125">
        <v>0</v>
      </c>
    </row>
    <row r="88" spans="2:6" hidden="1">
      <c r="B88" s="188" t="s">
        <v>99</v>
      </c>
      <c r="C88" s="129">
        <v>0</v>
      </c>
    </row>
    <row r="89" spans="2:6" s="249" customFormat="1" hidden="1">
      <c r="B89" s="249" t="s">
        <v>284</v>
      </c>
      <c r="C89" s="234">
        <f>76561.19-68678.88</f>
        <v>7882.3099999999977</v>
      </c>
    </row>
    <row r="90" spans="2:6" ht="15" hidden="1" thickBot="1">
      <c r="B90" s="188"/>
      <c r="C90" s="129">
        <v>0</v>
      </c>
      <c r="E90" s="178"/>
      <c r="F90" s="187" t="s">
        <v>31</v>
      </c>
    </row>
    <row r="91" spans="2:6" ht="30.75" hidden="1" customHeight="1" thickBot="1">
      <c r="B91" s="224" t="s">
        <v>296</v>
      </c>
      <c r="C91" s="127">
        <f>SUM(C82:C90)</f>
        <v>76561.189999999988</v>
      </c>
      <c r="E91" s="127">
        <f>C91+F91</f>
        <v>300561.19</v>
      </c>
      <c r="F91" s="177">
        <v>224000</v>
      </c>
    </row>
    <row r="92" spans="2:6" ht="27.75" hidden="1" customHeight="1"/>
    <row r="93" spans="2:6" hidden="1">
      <c r="B93" s="249" t="s">
        <v>261</v>
      </c>
      <c r="C93" s="235">
        <v>-15000</v>
      </c>
      <c r="D93" s="249"/>
      <c r="E93" s="249"/>
      <c r="F93" s="249"/>
    </row>
    <row r="94" spans="2:6" s="249" customFormat="1" hidden="1">
      <c r="B94" s="240" t="s">
        <v>302</v>
      </c>
      <c r="C94" s="235">
        <v>-26950</v>
      </c>
    </row>
    <row r="95" spans="2:6" s="249" customFormat="1" hidden="1">
      <c r="C95" s="234">
        <v>0</v>
      </c>
    </row>
    <row r="96" spans="2:6" ht="15" hidden="1" thickBot="1">
      <c r="B96" s="249" t="s">
        <v>289</v>
      </c>
      <c r="C96" s="234">
        <v>35676.6</v>
      </c>
      <c r="D96" s="249"/>
      <c r="E96" s="238"/>
      <c r="F96" s="239" t="s">
        <v>31</v>
      </c>
    </row>
    <row r="97" spans="2:6" ht="30.75" hidden="1" customHeight="1" thickBot="1">
      <c r="B97" s="224" t="s">
        <v>297</v>
      </c>
      <c r="C97" s="233">
        <f>SUM(C91:C96)</f>
        <v>70287.789999999979</v>
      </c>
      <c r="D97" s="249"/>
      <c r="E97" s="233">
        <f>C97+F97</f>
        <v>294287.78999999998</v>
      </c>
      <c r="F97" s="237">
        <v>224000</v>
      </c>
    </row>
    <row r="98" spans="2:6" ht="27.75" hidden="1" customHeight="1"/>
    <row r="99" spans="2:6" hidden="1">
      <c r="B99" s="240" t="s">
        <v>295</v>
      </c>
      <c r="C99" s="235">
        <v>0</v>
      </c>
      <c r="D99" s="249"/>
      <c r="E99" s="249"/>
      <c r="F99" s="249"/>
    </row>
    <row r="100" spans="2:6" hidden="1">
      <c r="B100" s="240" t="s">
        <v>299</v>
      </c>
      <c r="C100" s="234">
        <v>-7356.78</v>
      </c>
      <c r="D100" s="249"/>
      <c r="E100" s="249"/>
      <c r="F100" s="249"/>
    </row>
    <row r="101" spans="2:6" ht="15" hidden="1" thickBot="1">
      <c r="B101" s="240"/>
      <c r="C101" s="234">
        <v>0</v>
      </c>
      <c r="D101" s="249"/>
      <c r="E101" s="238"/>
      <c r="F101" s="239" t="s">
        <v>31</v>
      </c>
    </row>
    <row r="102" spans="2:6" ht="30" hidden="1" customHeight="1" thickBot="1">
      <c r="B102" s="224" t="s">
        <v>298</v>
      </c>
      <c r="C102" s="233">
        <f>SUM(C97:C101)</f>
        <v>62931.00999999998</v>
      </c>
      <c r="D102" s="249"/>
      <c r="E102" s="233">
        <f>C102+F102</f>
        <v>286931.01</v>
      </c>
      <c r="F102" s="237">
        <v>224000</v>
      </c>
    </row>
    <row r="103" spans="2:6" ht="27.75" hidden="1" customHeight="1"/>
    <row r="104" spans="2:6" hidden="1">
      <c r="B104" s="240" t="s">
        <v>300</v>
      </c>
      <c r="C104" s="302">
        <v>0</v>
      </c>
      <c r="D104" s="249"/>
      <c r="E104" s="249"/>
      <c r="F104" s="249"/>
    </row>
    <row r="105" spans="2:6" hidden="1">
      <c r="B105" s="240" t="s">
        <v>317</v>
      </c>
      <c r="C105" s="235">
        <v>0</v>
      </c>
      <c r="D105" s="249"/>
      <c r="E105" s="249"/>
      <c r="F105" s="286">
        <v>35990</v>
      </c>
    </row>
    <row r="106" spans="2:6" hidden="1">
      <c r="B106" s="240" t="s">
        <v>301</v>
      </c>
      <c r="C106" s="234">
        <v>25924.240000000002</v>
      </c>
      <c r="D106" s="249"/>
      <c r="E106" s="249"/>
      <c r="F106" s="249"/>
    </row>
    <row r="107" spans="2:6" ht="15" hidden="1" thickBot="1">
      <c r="B107" s="240"/>
      <c r="C107" s="234">
        <v>0</v>
      </c>
      <c r="D107" s="249"/>
      <c r="E107" s="238"/>
      <c r="F107" s="239" t="s">
        <v>31</v>
      </c>
    </row>
    <row r="108" spans="2:6" ht="30.75" hidden="1" customHeight="1" thickBot="1">
      <c r="B108" s="224" t="s">
        <v>311</v>
      </c>
      <c r="C108" s="233">
        <f>SUM(C102:C107)</f>
        <v>88855.249999999985</v>
      </c>
      <c r="D108" s="249"/>
      <c r="E108" s="233">
        <f>C108+F108</f>
        <v>348845.25</v>
      </c>
      <c r="F108" s="237">
        <f>224000+35990</f>
        <v>259990</v>
      </c>
    </row>
    <row r="109" spans="2:6" ht="27" hidden="1" customHeight="1"/>
    <row r="110" spans="2:6" hidden="1">
      <c r="B110" s="240" t="s">
        <v>303</v>
      </c>
      <c r="C110" s="235">
        <v>35990</v>
      </c>
      <c r="D110" s="249"/>
      <c r="E110" s="249"/>
      <c r="F110" s="249"/>
    </row>
    <row r="111" spans="2:6" hidden="1">
      <c r="B111" s="240" t="s">
        <v>313</v>
      </c>
      <c r="C111" s="235">
        <v>0</v>
      </c>
      <c r="D111" s="249"/>
      <c r="E111" s="249"/>
      <c r="F111" s="249"/>
    </row>
    <row r="112" spans="2:6" hidden="1">
      <c r="B112" s="240" t="s">
        <v>304</v>
      </c>
      <c r="C112" s="234">
        <v>28913.82</v>
      </c>
      <c r="D112" s="249"/>
      <c r="E112" s="249"/>
      <c r="F112" s="249"/>
    </row>
    <row r="113" spans="2:6" ht="15" hidden="1" thickBot="1">
      <c r="B113" s="240"/>
      <c r="C113" s="234">
        <v>0</v>
      </c>
      <c r="D113" s="249"/>
      <c r="E113" s="238"/>
      <c r="F113" s="239" t="s">
        <v>31</v>
      </c>
    </row>
    <row r="114" spans="2:6" ht="30.75" customHeight="1" thickBot="1">
      <c r="B114" s="224" t="s">
        <v>306</v>
      </c>
      <c r="C114" s="233">
        <f>SUM(C108:C113)</f>
        <v>153759.06999999998</v>
      </c>
      <c r="D114" s="249"/>
      <c r="E114" s="233">
        <f>C114+F114</f>
        <v>377759.06999999995</v>
      </c>
      <c r="F114" s="237">
        <v>224000</v>
      </c>
    </row>
    <row r="115" spans="2:6" ht="27" customHeight="1"/>
    <row r="116" spans="2:6">
      <c r="B116" s="240" t="s">
        <v>314</v>
      </c>
      <c r="C116" s="235">
        <v>-20500</v>
      </c>
      <c r="D116" s="249"/>
      <c r="E116" s="249"/>
      <c r="F116" s="249"/>
    </row>
    <row r="117" spans="2:6">
      <c r="B117" s="240" t="s">
        <v>315</v>
      </c>
      <c r="C117" s="235">
        <v>-2500</v>
      </c>
      <c r="D117" s="249"/>
      <c r="E117" s="249"/>
      <c r="F117" s="249"/>
    </row>
    <row r="118" spans="2:6">
      <c r="B118" s="240" t="s">
        <v>316</v>
      </c>
      <c r="C118" s="234">
        <v>-17948.490000000002</v>
      </c>
      <c r="D118" s="249"/>
      <c r="E118" s="249"/>
      <c r="F118" s="249"/>
    </row>
    <row r="119" spans="2:6" ht="15" thickBot="1">
      <c r="B119" s="240"/>
      <c r="C119" s="234">
        <v>0</v>
      </c>
      <c r="D119" s="249"/>
      <c r="E119" s="238"/>
      <c r="F119" s="239" t="s">
        <v>31</v>
      </c>
    </row>
    <row r="120" spans="2:6" ht="30.75" customHeight="1" thickBot="1">
      <c r="B120" s="224" t="s">
        <v>312</v>
      </c>
      <c r="C120" s="233">
        <f>SUM(C114:C119)</f>
        <v>112810.57999999997</v>
      </c>
      <c r="D120" s="249"/>
      <c r="E120" s="233">
        <f>C120+F120</f>
        <v>336810.57999999996</v>
      </c>
      <c r="F120" s="237">
        <v>224000</v>
      </c>
    </row>
    <row r="122" spans="2:6">
      <c r="B122" s="240" t="s">
        <v>325</v>
      </c>
      <c r="C122" s="235">
        <v>-32046</v>
      </c>
      <c r="D122" s="249"/>
      <c r="E122" s="249"/>
      <c r="F122" s="249"/>
    </row>
    <row r="123" spans="2:6">
      <c r="B123" s="240" t="s">
        <v>326</v>
      </c>
      <c r="C123" s="302">
        <f>'[1]2021 Draft budget'!E45*-1</f>
        <v>0</v>
      </c>
      <c r="D123" s="249"/>
      <c r="E123" s="249"/>
      <c r="F123" s="249"/>
    </row>
    <row r="124" spans="2:6">
      <c r="B124" s="240" t="s">
        <v>327</v>
      </c>
      <c r="C124" s="234">
        <v>0</v>
      </c>
      <c r="D124" s="249"/>
      <c r="E124" s="249"/>
      <c r="F124" s="249"/>
    </row>
    <row r="125" spans="2:6" ht="15" thickBot="1">
      <c r="B125" s="240"/>
      <c r="C125" s="234">
        <v>0</v>
      </c>
      <c r="D125" s="249"/>
      <c r="E125" s="238"/>
      <c r="F125" s="239" t="s">
        <v>31</v>
      </c>
    </row>
    <row r="126" spans="2:6" ht="30" customHeight="1" thickBot="1">
      <c r="B126" s="224" t="s">
        <v>328</v>
      </c>
      <c r="C126" s="233">
        <f>SUM(C120:C125)</f>
        <v>80764.579999999973</v>
      </c>
      <c r="D126" s="249"/>
      <c r="E126" s="237">
        <f>C126+F126</f>
        <v>304764.57999999996</v>
      </c>
      <c r="F126" s="237">
        <v>224000</v>
      </c>
    </row>
    <row r="128" spans="2:6">
      <c r="B128" s="240" t="s">
        <v>339</v>
      </c>
      <c r="C128" s="302">
        <f>'2021 Approved budget'!H45*-1</f>
        <v>-65000</v>
      </c>
      <c r="D128" s="249"/>
      <c r="E128" s="249"/>
      <c r="F128" s="249"/>
    </row>
    <row r="129" spans="2:6">
      <c r="B129" s="240" t="s">
        <v>340</v>
      </c>
      <c r="C129" s="235">
        <v>0</v>
      </c>
      <c r="D129" s="249"/>
      <c r="E129" s="249"/>
      <c r="F129" s="249"/>
    </row>
    <row r="130" spans="2:6">
      <c r="B130" s="240" t="s">
        <v>341</v>
      </c>
      <c r="C130" s="234">
        <v>0</v>
      </c>
      <c r="D130" s="249"/>
      <c r="E130" s="249"/>
      <c r="F130" s="249"/>
    </row>
    <row r="131" spans="2:6" ht="15" thickBot="1">
      <c r="B131" s="240"/>
      <c r="C131" s="234">
        <v>0</v>
      </c>
      <c r="D131" s="249"/>
      <c r="E131" s="238"/>
      <c r="F131" s="239" t="s">
        <v>31</v>
      </c>
    </row>
    <row r="132" spans="2:6" ht="30" customHeight="1" thickBot="1">
      <c r="B132" s="224" t="s">
        <v>342</v>
      </c>
      <c r="C132" s="233">
        <f>SUM(C126:C131)</f>
        <v>15764.579999999973</v>
      </c>
      <c r="D132" s="249"/>
      <c r="E132" s="233">
        <f>C132+F132</f>
        <v>239764.57999999996</v>
      </c>
      <c r="F132" s="237">
        <v>224000</v>
      </c>
    </row>
  </sheetData>
  <phoneticPr fontId="0" type="noConversion"/>
  <printOptions horizontalCentered="1"/>
  <pageMargins left="0.36" right="0.35" top="0.98" bottom="0.6" header="0.47" footer="0.46"/>
  <pageSetup scale="92" orientation="portrait" horizontalDpi="4294967292" verticalDpi="4294967292" r:id="rId1"/>
  <headerFooter>
    <oddHeader>&amp;C2021 Approved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95"/>
  <sheetViews>
    <sheetView showRuler="0" zoomScaleNormal="100" workbookViewId="0">
      <selection activeCell="G2" sqref="G2"/>
    </sheetView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375" style="249" customWidth="1"/>
    <col min="8" max="8" width="10.875" customWidth="1"/>
    <col min="9" max="9" width="10.875" hidden="1" customWidth="1"/>
    <col min="10" max="11" width="10.625" customWidth="1"/>
  </cols>
  <sheetData>
    <row r="1" spans="1:12" ht="15">
      <c r="A1" s="1" t="s">
        <v>346</v>
      </c>
    </row>
    <row r="2" spans="1:12">
      <c r="A2" s="62" t="s">
        <v>371</v>
      </c>
    </row>
    <row r="3" spans="1:12" ht="15" thickBot="1">
      <c r="A3" s="64" t="s">
        <v>374</v>
      </c>
    </row>
    <row r="4" spans="1:12" ht="15.75" thickBot="1">
      <c r="C4" s="65" t="s">
        <v>347</v>
      </c>
      <c r="D4" s="78">
        <f>'2021 Approved budget'!H47</f>
        <v>887631</v>
      </c>
      <c r="E4" s="80"/>
      <c r="F4" s="81"/>
      <c r="G4" s="81"/>
    </row>
    <row r="5" spans="1:12" ht="15.75" thickBot="1">
      <c r="C5" s="65" t="s">
        <v>348</v>
      </c>
      <c r="D5" s="78">
        <f>'MORE Approved Formula w''19 Data'!D5</f>
        <v>41000</v>
      </c>
      <c r="E5" s="80"/>
      <c r="F5" s="81"/>
      <c r="G5" s="81"/>
    </row>
    <row r="6" spans="1:12" ht="15.75" thickBot="1">
      <c r="C6" s="65" t="s">
        <v>349</v>
      </c>
      <c r="D6" s="78">
        <f>D4-D5</f>
        <v>846631</v>
      </c>
      <c r="E6" s="80"/>
      <c r="F6" s="81"/>
      <c r="G6" s="81"/>
      <c r="J6" s="306"/>
      <c r="K6" s="306"/>
    </row>
    <row r="7" spans="1:12" ht="15">
      <c r="B7" s="124" t="s">
        <v>350</v>
      </c>
      <c r="C7" s="124"/>
      <c r="D7" s="67"/>
      <c r="E7" s="266">
        <f>'MORE Approved Formula w''19 Data'!J2</f>
        <v>1000</v>
      </c>
      <c r="F7" s="266"/>
      <c r="H7" s="68"/>
      <c r="J7" s="306" t="s">
        <v>100</v>
      </c>
      <c r="K7" s="306"/>
    </row>
    <row r="8" spans="1:12" s="249" customFormat="1" ht="15" thickBot="1">
      <c r="B8" s="124" t="s">
        <v>382</v>
      </c>
      <c r="C8" s="124"/>
      <c r="D8" s="67"/>
      <c r="E8" s="266">
        <f>'MORE Approved Formula w''19 Data'!J3</f>
        <v>20000</v>
      </c>
      <c r="H8" s="68"/>
      <c r="J8" s="168" t="s">
        <v>101</v>
      </c>
      <c r="K8" s="168" t="s">
        <v>102</v>
      </c>
    </row>
    <row r="9" spans="1:12" ht="26.25" customHeight="1" thickBot="1">
      <c r="A9" s="124" t="s">
        <v>103</v>
      </c>
      <c r="C9" s="66"/>
      <c r="D9" s="67"/>
      <c r="E9" s="68"/>
      <c r="F9" s="68"/>
      <c r="G9" s="68"/>
      <c r="J9" s="167">
        <f>'MORE Approved Formula w''19 Data'!F5</f>
        <v>194165</v>
      </c>
      <c r="K9" s="167">
        <f>D6-J9</f>
        <v>652466</v>
      </c>
    </row>
    <row r="10" spans="1:12" ht="63" customHeight="1" thickBot="1">
      <c r="A10" s="63" t="s">
        <v>104</v>
      </c>
      <c r="B10" s="77"/>
      <c r="C10" s="189" t="s">
        <v>105</v>
      </c>
      <c r="D10" s="179" t="s">
        <v>281</v>
      </c>
      <c r="E10" s="190" t="s">
        <v>282</v>
      </c>
      <c r="F10" s="191" t="s">
        <v>290</v>
      </c>
      <c r="G10" s="323" t="s">
        <v>380</v>
      </c>
      <c r="H10" s="174" t="s">
        <v>351</v>
      </c>
      <c r="I10" s="190" t="s">
        <v>106</v>
      </c>
      <c r="J10" s="179" t="s">
        <v>352</v>
      </c>
      <c r="K10" s="180" t="s">
        <v>353</v>
      </c>
    </row>
    <row r="11" spans="1:12" ht="16.350000000000001" customHeight="1">
      <c r="A11" s="147">
        <v>1</v>
      </c>
      <c r="B11" s="57"/>
      <c r="C11" s="192" t="s">
        <v>107</v>
      </c>
      <c r="D11" s="193">
        <f>'MORE Approved Formula w''19 Data'!H9</f>
        <v>3.6508691198498928E-2</v>
      </c>
      <c r="E11" s="194">
        <f>($D$6*D11)</f>
        <v>30909.389738076345</v>
      </c>
      <c r="F11" s="195">
        <f>IF(AND((E11-$E$7)&lt;800,(E11-$E$7)&lt;1000),E11-800,$E$7)</f>
        <v>1000</v>
      </c>
      <c r="G11" s="197"/>
      <c r="H11" s="196">
        <f>E11-F11-G11</f>
        <v>29909.389738076345</v>
      </c>
      <c r="I11" s="197">
        <f>ROUND(D11*1000,0)</f>
        <v>37</v>
      </c>
      <c r="J11" s="198">
        <f>ROUND($J$9*D11,0)</f>
        <v>7089</v>
      </c>
      <c r="K11" s="198">
        <f>H11-J11</f>
        <v>22820.389738076345</v>
      </c>
      <c r="L11" t="s">
        <v>259</v>
      </c>
    </row>
    <row r="12" spans="1:12" ht="16.350000000000001" customHeight="1">
      <c r="A12" s="148">
        <v>2</v>
      </c>
      <c r="B12" s="56"/>
      <c r="C12" s="199" t="s">
        <v>108</v>
      </c>
      <c r="D12" s="193">
        <f>'MORE Approved Formula w''19 Data'!H12</f>
        <v>1.7142608790785538E-2</v>
      </c>
      <c r="E12" s="72">
        <f t="shared" ref="E12:E61" si="0">($D$6*D12)</f>
        <v>14513.464023151551</v>
      </c>
      <c r="F12" s="69">
        <f>IF(AND((E12-$E$7)&lt;800,(E12-$E$7)&lt;1000),E12-800,$E$7)</f>
        <v>1000</v>
      </c>
      <c r="G12" s="324"/>
      <c r="H12" s="200">
        <f>E12-F12-G12</f>
        <v>13513.464023151551</v>
      </c>
      <c r="I12" s="169">
        <f t="shared" ref="I12:I57" si="1">ROUND(D12*1000,0)</f>
        <v>17</v>
      </c>
      <c r="J12" s="72">
        <f>ROUND($J$9*D12,0)</f>
        <v>3328</v>
      </c>
      <c r="K12" s="72">
        <f>H12-J12</f>
        <v>10185.464023151551</v>
      </c>
      <c r="L12" t="s">
        <v>259</v>
      </c>
    </row>
    <row r="13" spans="1:12" ht="16.350000000000001" customHeight="1">
      <c r="A13" s="148">
        <v>3</v>
      </c>
      <c r="B13" s="56"/>
      <c r="C13" s="199" t="s">
        <v>109</v>
      </c>
      <c r="D13" s="193">
        <f>'MORE Approved Formula w''19 Data'!H13</f>
        <v>6.8195391420527822E-3</v>
      </c>
      <c r="E13" s="72">
        <f t="shared" si="0"/>
        <v>5773.6332433752887</v>
      </c>
      <c r="F13" s="69">
        <f t="shared" ref="F13:F61" si="2">IF(AND((E13-$E$7)&lt;800,(E13-$E$7)&lt;1000),E13-800,$E$7)</f>
        <v>1000</v>
      </c>
      <c r="G13" s="324"/>
      <c r="H13" s="200">
        <f t="shared" ref="H13:H61" si="3">E13-F13-G13</f>
        <v>4773.6332433752887</v>
      </c>
      <c r="I13" s="169">
        <f t="shared" si="1"/>
        <v>7</v>
      </c>
      <c r="J13" s="72">
        <f t="shared" ref="J13:J61" si="4">ROUND($J$9*D13,0)</f>
        <v>1324</v>
      </c>
      <c r="K13" s="72">
        <f t="shared" ref="K13:K61" si="5">H13-J13</f>
        <v>3449.6332433752887</v>
      </c>
      <c r="L13" t="s">
        <v>259</v>
      </c>
    </row>
    <row r="14" spans="1:12" ht="16.350000000000001" customHeight="1">
      <c r="A14" s="148">
        <v>4</v>
      </c>
      <c r="B14" s="56"/>
      <c r="C14" s="199" t="s">
        <v>110</v>
      </c>
      <c r="D14" s="193"/>
      <c r="E14" s="72">
        <f t="shared" si="0"/>
        <v>0</v>
      </c>
      <c r="F14" s="69">
        <v>0</v>
      </c>
      <c r="G14" s="324"/>
      <c r="H14" s="200">
        <f t="shared" si="3"/>
        <v>0</v>
      </c>
      <c r="I14" s="169">
        <f t="shared" si="1"/>
        <v>0</v>
      </c>
      <c r="J14" s="72">
        <f t="shared" si="4"/>
        <v>0</v>
      </c>
      <c r="K14" s="72">
        <f t="shared" si="5"/>
        <v>0</v>
      </c>
    </row>
    <row r="15" spans="1:12" ht="16.350000000000001" customHeight="1">
      <c r="A15" s="148">
        <v>5</v>
      </c>
      <c r="B15" s="56"/>
      <c r="C15" s="199" t="s">
        <v>111</v>
      </c>
      <c r="D15" s="193">
        <f>'MORE Approved Formula w''19 Data'!H26</f>
        <v>3.7405086956945276E-3</v>
      </c>
      <c r="E15" s="72">
        <f t="shared" si="0"/>
        <v>3166.8306175445537</v>
      </c>
      <c r="F15" s="69">
        <f t="shared" si="2"/>
        <v>1000</v>
      </c>
      <c r="G15" s="324"/>
      <c r="H15" s="200">
        <f t="shared" si="3"/>
        <v>2166.8306175445537</v>
      </c>
      <c r="I15" s="169">
        <f t="shared" si="1"/>
        <v>4</v>
      </c>
      <c r="J15" s="72">
        <f t="shared" si="4"/>
        <v>726</v>
      </c>
      <c r="K15" s="72">
        <f t="shared" si="5"/>
        <v>1440.8306175445537</v>
      </c>
    </row>
    <row r="16" spans="1:12" ht="16.350000000000001" customHeight="1">
      <c r="A16" s="148">
        <v>6</v>
      </c>
      <c r="B16" s="56"/>
      <c r="C16" s="199" t="s">
        <v>112</v>
      </c>
      <c r="D16" s="193">
        <f>'MORE Approved Formula w''19 Data'!H27</f>
        <v>5.2730925410131501E-3</v>
      </c>
      <c r="E16" s="72">
        <f t="shared" si="0"/>
        <v>4464.3636110905045</v>
      </c>
      <c r="F16" s="69">
        <f t="shared" si="2"/>
        <v>1000</v>
      </c>
      <c r="G16" s="324"/>
      <c r="H16" s="200">
        <f t="shared" si="3"/>
        <v>3464.3636110905045</v>
      </c>
      <c r="I16" s="169">
        <f t="shared" si="1"/>
        <v>5</v>
      </c>
      <c r="J16" s="72">
        <f t="shared" si="4"/>
        <v>1024</v>
      </c>
      <c r="K16" s="72">
        <f t="shared" si="5"/>
        <v>2440.3636110905045</v>
      </c>
    </row>
    <row r="17" spans="1:12" ht="16.350000000000001" customHeight="1">
      <c r="A17" s="148">
        <v>7</v>
      </c>
      <c r="B17" s="56"/>
      <c r="C17" s="199" t="s">
        <v>113</v>
      </c>
      <c r="D17" s="193">
        <f>'MORE Approved Formula w''19 Data'!H29</f>
        <v>1.6845496215467687E-2</v>
      </c>
      <c r="E17" s="72">
        <f t="shared" si="0"/>
        <v>14261.919306397624</v>
      </c>
      <c r="F17" s="69">
        <f t="shared" si="2"/>
        <v>1000</v>
      </c>
      <c r="G17" s="324"/>
      <c r="H17" s="200">
        <f t="shared" si="3"/>
        <v>13261.919306397624</v>
      </c>
      <c r="I17" s="169">
        <f t="shared" si="1"/>
        <v>17</v>
      </c>
      <c r="J17" s="72">
        <f t="shared" si="4"/>
        <v>3271</v>
      </c>
      <c r="K17" s="72">
        <f t="shared" si="5"/>
        <v>9990.9193063976236</v>
      </c>
      <c r="L17" t="s">
        <v>259</v>
      </c>
    </row>
    <row r="18" spans="1:12" ht="16.350000000000001" customHeight="1">
      <c r="A18" s="148">
        <v>8</v>
      </c>
      <c r="B18" s="56"/>
      <c r="C18" s="199" t="s">
        <v>114</v>
      </c>
      <c r="D18" s="193">
        <f>'MORE Approved Formula w''19 Data'!H33</f>
        <v>5.2983827034771541E-3</v>
      </c>
      <c r="E18" s="72">
        <f t="shared" si="0"/>
        <v>4485.7750466275666</v>
      </c>
      <c r="F18" s="69">
        <f t="shared" si="2"/>
        <v>1000</v>
      </c>
      <c r="G18" s="324"/>
      <c r="H18" s="200">
        <f t="shared" si="3"/>
        <v>3485.7750466275666</v>
      </c>
      <c r="I18" s="169">
        <f t="shared" si="1"/>
        <v>5</v>
      </c>
      <c r="J18" s="72">
        <f t="shared" si="4"/>
        <v>1029</v>
      </c>
      <c r="K18" s="72">
        <f t="shared" si="5"/>
        <v>2456.7750466275666</v>
      </c>
      <c r="L18" t="s">
        <v>259</v>
      </c>
    </row>
    <row r="19" spans="1:12" ht="16.350000000000001" customHeight="1">
      <c r="A19" s="148">
        <v>9</v>
      </c>
      <c r="B19" s="56"/>
      <c r="C19" s="199" t="s">
        <v>115</v>
      </c>
      <c r="D19" s="193">
        <f>'MORE Approved Formula w''19 Data'!H35</f>
        <v>5.4177897372146053E-2</v>
      </c>
      <c r="E19" s="72">
        <f t="shared" si="0"/>
        <v>45868.687430077385</v>
      </c>
      <c r="F19" s="69">
        <f t="shared" si="2"/>
        <v>1000</v>
      </c>
      <c r="G19" s="324"/>
      <c r="H19" s="200">
        <f t="shared" si="3"/>
        <v>44868.687430077385</v>
      </c>
      <c r="I19" s="169">
        <f t="shared" si="1"/>
        <v>54</v>
      </c>
      <c r="J19" s="72">
        <f t="shared" si="4"/>
        <v>10519</v>
      </c>
      <c r="K19" s="72">
        <f t="shared" si="5"/>
        <v>34349.687430077385</v>
      </c>
      <c r="L19" t="s">
        <v>259</v>
      </c>
    </row>
    <row r="20" spans="1:12" ht="16.350000000000001" customHeight="1">
      <c r="A20" s="148">
        <v>10</v>
      </c>
      <c r="B20" s="56"/>
      <c r="C20" s="199" t="s">
        <v>116</v>
      </c>
      <c r="D20" s="193">
        <f>'MORE Approved Formula w''19 Data'!H28</f>
        <v>0.18453088809309179</v>
      </c>
      <c r="E20" s="72">
        <f t="shared" si="0"/>
        <v>156229.57031714238</v>
      </c>
      <c r="F20" s="69">
        <f t="shared" si="2"/>
        <v>1000</v>
      </c>
      <c r="G20" s="324">
        <f>'MORE Approved Formula w''19 Data'!K28</f>
        <v>11604.909473049265</v>
      </c>
      <c r="H20" s="200">
        <f t="shared" si="3"/>
        <v>143624.66084409313</v>
      </c>
      <c r="I20" s="169">
        <f t="shared" si="1"/>
        <v>185</v>
      </c>
      <c r="J20" s="72">
        <f t="shared" si="4"/>
        <v>35829</v>
      </c>
      <c r="K20" s="72">
        <f t="shared" si="5"/>
        <v>107795.66084409313</v>
      </c>
      <c r="L20" t="s">
        <v>259</v>
      </c>
    </row>
    <row r="21" spans="1:12" ht="16.350000000000001" customHeight="1">
      <c r="A21" s="148">
        <v>11</v>
      </c>
      <c r="B21" s="56"/>
      <c r="C21" s="199" t="s">
        <v>117</v>
      </c>
      <c r="D21" s="193">
        <f>'MORE Approved Formula w''19 Data'!H37</f>
        <v>7.8264622771936684E-3</v>
      </c>
      <c r="E21" s="72">
        <f t="shared" si="0"/>
        <v>6626.1255842027531</v>
      </c>
      <c r="F21" s="69">
        <f t="shared" si="2"/>
        <v>1000</v>
      </c>
      <c r="G21" s="324"/>
      <c r="H21" s="200">
        <f t="shared" si="3"/>
        <v>5626.1255842027531</v>
      </c>
      <c r="I21" s="169">
        <f t="shared" si="1"/>
        <v>8</v>
      </c>
      <c r="J21" s="72">
        <f t="shared" si="4"/>
        <v>1520</v>
      </c>
      <c r="K21" s="72">
        <f t="shared" si="5"/>
        <v>4106.1255842027531</v>
      </c>
    </row>
    <row r="22" spans="1:12" ht="16.350000000000001" customHeight="1">
      <c r="A22" s="148">
        <v>12</v>
      </c>
      <c r="B22" s="56"/>
      <c r="C22" s="199" t="s">
        <v>118</v>
      </c>
      <c r="D22" s="193">
        <f>'MORE Approved Formula w''19 Data'!H39</f>
        <v>7.2918095092509537E-3</v>
      </c>
      <c r="E22" s="72">
        <f t="shared" si="0"/>
        <v>6173.4719766266444</v>
      </c>
      <c r="F22" s="69">
        <f t="shared" si="2"/>
        <v>1000</v>
      </c>
      <c r="G22" s="324"/>
      <c r="H22" s="200">
        <f t="shared" si="3"/>
        <v>5173.4719766266444</v>
      </c>
      <c r="I22" s="169">
        <f t="shared" si="1"/>
        <v>7</v>
      </c>
      <c r="J22" s="72">
        <f t="shared" si="4"/>
        <v>1416</v>
      </c>
      <c r="K22" s="72">
        <f t="shared" si="5"/>
        <v>3757.4719766266444</v>
      </c>
    </row>
    <row r="23" spans="1:12" ht="16.350000000000001" customHeight="1">
      <c r="A23" s="148">
        <v>13</v>
      </c>
      <c r="B23" s="56"/>
      <c r="C23" s="199" t="s">
        <v>119</v>
      </c>
      <c r="D23" s="193">
        <f>'MORE Approved Formula w''19 Data'!H40</f>
        <v>4.8922601612126089E-2</v>
      </c>
      <c r="E23" s="72">
        <f t="shared" si="0"/>
        <v>41419.391125475922</v>
      </c>
      <c r="F23" s="69">
        <f t="shared" si="2"/>
        <v>1000</v>
      </c>
      <c r="G23" s="324"/>
      <c r="H23" s="200">
        <f t="shared" si="3"/>
        <v>40419.391125475922</v>
      </c>
      <c r="I23" s="169">
        <f t="shared" si="1"/>
        <v>49</v>
      </c>
      <c r="J23" s="72">
        <f t="shared" si="4"/>
        <v>9499</v>
      </c>
      <c r="K23" s="72">
        <f t="shared" si="5"/>
        <v>30920.391125475922</v>
      </c>
      <c r="L23" t="s">
        <v>259</v>
      </c>
    </row>
    <row r="24" spans="1:12" ht="16.350000000000001" customHeight="1">
      <c r="A24" s="148">
        <v>14</v>
      </c>
      <c r="B24" s="56"/>
      <c r="C24" s="199" t="s">
        <v>120</v>
      </c>
      <c r="D24" s="193">
        <f>'MORE Approved Formula w''19 Data'!H42</f>
        <v>1.8376206715418605E-2</v>
      </c>
      <c r="E24" s="72">
        <f t="shared" si="0"/>
        <v>15557.866267681569</v>
      </c>
      <c r="F24" s="69">
        <f t="shared" si="2"/>
        <v>1000</v>
      </c>
      <c r="G24" s="324"/>
      <c r="H24" s="200">
        <f t="shared" si="3"/>
        <v>14557.866267681569</v>
      </c>
      <c r="I24" s="169">
        <f t="shared" si="1"/>
        <v>18</v>
      </c>
      <c r="J24" s="72">
        <f t="shared" si="4"/>
        <v>3568</v>
      </c>
      <c r="K24" s="72">
        <f t="shared" si="5"/>
        <v>10989.866267681569</v>
      </c>
    </row>
    <row r="25" spans="1:12" ht="16.350000000000001" customHeight="1">
      <c r="A25" s="148">
        <v>15</v>
      </c>
      <c r="B25" s="56"/>
      <c r="C25" s="199" t="s">
        <v>121</v>
      </c>
      <c r="D25" s="193">
        <f>'MORE Approved Formula w''19 Data'!H43</f>
        <v>1.7900002322948257E-2</v>
      </c>
      <c r="E25" s="72">
        <f t="shared" si="0"/>
        <v>15154.696866680006</v>
      </c>
      <c r="F25" s="69">
        <f t="shared" si="2"/>
        <v>1000</v>
      </c>
      <c r="G25" s="324"/>
      <c r="H25" s="200">
        <f t="shared" si="3"/>
        <v>14154.696866680006</v>
      </c>
      <c r="I25" s="169">
        <f t="shared" si="1"/>
        <v>18</v>
      </c>
      <c r="J25" s="72">
        <f t="shared" si="4"/>
        <v>3476</v>
      </c>
      <c r="K25" s="72">
        <f t="shared" si="5"/>
        <v>10678.696866680006</v>
      </c>
    </row>
    <row r="26" spans="1:12" ht="16.350000000000001" customHeight="1">
      <c r="A26" s="148">
        <v>16</v>
      </c>
      <c r="B26" s="56"/>
      <c r="C26" s="199" t="s">
        <v>122</v>
      </c>
      <c r="D26" s="193"/>
      <c r="E26" s="72">
        <f t="shared" si="0"/>
        <v>0</v>
      </c>
      <c r="F26" s="69">
        <v>0</v>
      </c>
      <c r="G26" s="324"/>
      <c r="H26" s="200">
        <f t="shared" si="3"/>
        <v>0</v>
      </c>
      <c r="I26" s="169">
        <f t="shared" si="1"/>
        <v>0</v>
      </c>
      <c r="J26" s="72">
        <f t="shared" si="4"/>
        <v>0</v>
      </c>
      <c r="K26" s="72">
        <f t="shared" si="5"/>
        <v>0</v>
      </c>
    </row>
    <row r="27" spans="1:12" ht="16.350000000000001" customHeight="1">
      <c r="A27" s="148">
        <v>17</v>
      </c>
      <c r="B27" s="56"/>
      <c r="C27" s="199" t="s">
        <v>123</v>
      </c>
      <c r="D27" s="193">
        <f>'MORE Approved Formula w''19 Data'!H47</f>
        <v>1.5518418356986191E-2</v>
      </c>
      <c r="E27" s="72">
        <f t="shared" si="0"/>
        <v>13138.374051993576</v>
      </c>
      <c r="F27" s="69">
        <f t="shared" si="2"/>
        <v>1000</v>
      </c>
      <c r="G27" s="324"/>
      <c r="H27" s="200">
        <f t="shared" si="3"/>
        <v>12138.374051993576</v>
      </c>
      <c r="I27" s="169">
        <f t="shared" si="1"/>
        <v>16</v>
      </c>
      <c r="J27" s="72">
        <f t="shared" si="4"/>
        <v>3013</v>
      </c>
      <c r="K27" s="72">
        <f t="shared" si="5"/>
        <v>9125.3740519935764</v>
      </c>
      <c r="L27" t="s">
        <v>259</v>
      </c>
    </row>
    <row r="28" spans="1:12" ht="16.350000000000001" customHeight="1">
      <c r="A28" s="148">
        <v>18</v>
      </c>
      <c r="B28" s="56"/>
      <c r="C28" s="199" t="s">
        <v>124</v>
      </c>
      <c r="D28" s="193">
        <f>'MORE Approved Formula w''19 Data'!H49</f>
        <v>6.8878413141592681E-2</v>
      </c>
      <c r="E28" s="72">
        <f t="shared" si="0"/>
        <v>58314.599796479757</v>
      </c>
      <c r="F28" s="69">
        <f t="shared" si="2"/>
        <v>1000</v>
      </c>
      <c r="G28" s="324">
        <f>'MORE Approved Formula w''19 Data'!K49</f>
        <v>4331.6745365265178</v>
      </c>
      <c r="H28" s="200">
        <f t="shared" si="3"/>
        <v>52982.925259953241</v>
      </c>
      <c r="I28" s="169">
        <f t="shared" si="1"/>
        <v>69</v>
      </c>
      <c r="J28" s="72">
        <f t="shared" si="4"/>
        <v>13374</v>
      </c>
      <c r="K28" s="72">
        <f t="shared" si="5"/>
        <v>39608.925259953241</v>
      </c>
      <c r="L28" t="s">
        <v>259</v>
      </c>
    </row>
    <row r="29" spans="1:12" ht="16.350000000000001" customHeight="1">
      <c r="A29" s="148">
        <v>19</v>
      </c>
      <c r="B29" s="56"/>
      <c r="C29" s="199" t="s">
        <v>125</v>
      </c>
      <c r="D29" s="193">
        <f>'MORE Approved Formula w''19 Data'!H52</f>
        <v>1.2845903855419701E-2</v>
      </c>
      <c r="E29" s="72">
        <f t="shared" si="0"/>
        <v>10875.740427017838</v>
      </c>
      <c r="F29" s="69">
        <f t="shared" si="2"/>
        <v>1000</v>
      </c>
      <c r="G29" s="324"/>
      <c r="H29" s="200">
        <f t="shared" si="3"/>
        <v>9875.7404270178376</v>
      </c>
      <c r="I29" s="169">
        <f t="shared" si="1"/>
        <v>13</v>
      </c>
      <c r="J29" s="72">
        <f t="shared" si="4"/>
        <v>2494</v>
      </c>
      <c r="K29" s="72">
        <f t="shared" si="5"/>
        <v>7381.7404270178376</v>
      </c>
      <c r="L29" s="240" t="s">
        <v>259</v>
      </c>
    </row>
    <row r="30" spans="1:12" ht="16.350000000000001" customHeight="1">
      <c r="A30" s="148">
        <v>20</v>
      </c>
      <c r="B30" s="56"/>
      <c r="C30" s="199" t="s">
        <v>126</v>
      </c>
      <c r="D30" s="193">
        <f>'MORE Approved Formula w''19 Data'!H57</f>
        <v>7.8982114047767317E-3</v>
      </c>
      <c r="E30" s="72">
        <f t="shared" si="0"/>
        <v>6686.8706198375294</v>
      </c>
      <c r="F30" s="69">
        <f t="shared" si="2"/>
        <v>1000</v>
      </c>
      <c r="G30" s="324"/>
      <c r="H30" s="200">
        <f t="shared" si="3"/>
        <v>5686.8706198375294</v>
      </c>
      <c r="I30" s="169">
        <f t="shared" si="1"/>
        <v>8</v>
      </c>
      <c r="J30" s="72">
        <f t="shared" si="4"/>
        <v>1534</v>
      </c>
      <c r="K30" s="72">
        <f t="shared" si="5"/>
        <v>4152.8706198375294</v>
      </c>
    </row>
    <row r="31" spans="1:12" ht="16.350000000000001" customHeight="1">
      <c r="A31" s="148">
        <v>21</v>
      </c>
      <c r="B31" s="56"/>
      <c r="C31" s="199" t="s">
        <v>127</v>
      </c>
      <c r="D31" s="193">
        <f>'MORE Approved Formula w''19 Data'!H16</f>
        <v>7.4491705201380877E-3</v>
      </c>
      <c r="E31" s="72">
        <f t="shared" si="0"/>
        <v>6306.6986866350289</v>
      </c>
      <c r="F31" s="69">
        <f t="shared" si="2"/>
        <v>1000</v>
      </c>
      <c r="G31" s="324"/>
      <c r="H31" s="200">
        <f t="shared" si="3"/>
        <v>5306.6986866350289</v>
      </c>
      <c r="I31" s="169">
        <f t="shared" si="1"/>
        <v>7</v>
      </c>
      <c r="J31" s="72">
        <f t="shared" si="4"/>
        <v>1446</v>
      </c>
      <c r="K31" s="72">
        <f t="shared" si="5"/>
        <v>3860.6986866350289</v>
      </c>
    </row>
    <row r="32" spans="1:12" ht="16.350000000000001" customHeight="1">
      <c r="A32" s="148">
        <v>22</v>
      </c>
      <c r="B32" s="56"/>
      <c r="C32" s="199" t="s">
        <v>128</v>
      </c>
      <c r="D32" s="193">
        <f>'MORE Approved Formula w''19 Data'!H24</f>
        <v>8.1192661581657999E-3</v>
      </c>
      <c r="E32" s="72">
        <f t="shared" si="0"/>
        <v>6874.0224267540689</v>
      </c>
      <c r="F32" s="69">
        <f t="shared" si="2"/>
        <v>1000</v>
      </c>
      <c r="G32" s="324"/>
      <c r="H32" s="200">
        <f t="shared" si="3"/>
        <v>5874.0224267540689</v>
      </c>
      <c r="I32" s="169">
        <f t="shared" si="1"/>
        <v>8</v>
      </c>
      <c r="J32" s="72">
        <f t="shared" si="4"/>
        <v>1576</v>
      </c>
      <c r="K32" s="72">
        <f t="shared" si="5"/>
        <v>4298.0224267540689</v>
      </c>
    </row>
    <row r="33" spans="1:12" ht="16.350000000000001" customHeight="1">
      <c r="A33" s="148">
        <v>23</v>
      </c>
      <c r="B33" s="56"/>
      <c r="C33" s="199" t="s">
        <v>129</v>
      </c>
      <c r="D33" s="193">
        <f>'MORE Approved Formula w''19 Data'!H23</f>
        <v>9.1308726567259461E-3</v>
      </c>
      <c r="E33" s="72">
        <f t="shared" si="0"/>
        <v>7730.4798482365441</v>
      </c>
      <c r="F33" s="69">
        <f t="shared" si="2"/>
        <v>1000</v>
      </c>
      <c r="G33" s="324"/>
      <c r="H33" s="200">
        <f t="shared" si="3"/>
        <v>6730.4798482365441</v>
      </c>
      <c r="I33" s="169">
        <f t="shared" si="1"/>
        <v>9</v>
      </c>
      <c r="J33" s="72">
        <f t="shared" si="4"/>
        <v>1773</v>
      </c>
      <c r="K33" s="72">
        <f t="shared" si="5"/>
        <v>4957.4798482365441</v>
      </c>
    </row>
    <row r="34" spans="1:12" ht="16.350000000000001" customHeight="1">
      <c r="A34" s="148">
        <v>24</v>
      </c>
      <c r="B34" s="56"/>
      <c r="C34" s="199" t="s">
        <v>130</v>
      </c>
      <c r="D34" s="193">
        <f>'MORE Approved Formula w''19 Data'!H20</f>
        <v>4.1942329437524304E-3</v>
      </c>
      <c r="E34" s="72">
        <f t="shared" si="0"/>
        <v>3550.9676314020639</v>
      </c>
      <c r="F34" s="69">
        <f t="shared" si="2"/>
        <v>1000</v>
      </c>
      <c r="G34" s="324"/>
      <c r="H34" s="200">
        <f t="shared" si="3"/>
        <v>2550.9676314020639</v>
      </c>
      <c r="I34" s="169">
        <f t="shared" si="1"/>
        <v>4</v>
      </c>
      <c r="J34" s="72">
        <f t="shared" si="4"/>
        <v>814</v>
      </c>
      <c r="K34" s="72">
        <f t="shared" si="5"/>
        <v>1736.9676314020639</v>
      </c>
    </row>
    <row r="35" spans="1:12" ht="16.350000000000001" customHeight="1">
      <c r="A35" s="148">
        <v>25</v>
      </c>
      <c r="B35" s="56"/>
      <c r="C35" s="199" t="s">
        <v>131</v>
      </c>
      <c r="D35" s="193">
        <f>'MORE Approved Formula w''19 Data'!H32</f>
        <v>1.0979677200113001E-2</v>
      </c>
      <c r="E35" s="72">
        <f t="shared" si="0"/>
        <v>9295.7350876088694</v>
      </c>
      <c r="F35" s="69">
        <f t="shared" si="2"/>
        <v>1000</v>
      </c>
      <c r="G35" s="324"/>
      <c r="H35" s="200">
        <f t="shared" si="3"/>
        <v>8295.7350876088694</v>
      </c>
      <c r="I35" s="169">
        <f t="shared" si="1"/>
        <v>11</v>
      </c>
      <c r="J35" s="72">
        <f t="shared" si="4"/>
        <v>2132</v>
      </c>
      <c r="K35" s="72">
        <f t="shared" si="5"/>
        <v>6163.7350876088694</v>
      </c>
      <c r="L35" t="s">
        <v>259</v>
      </c>
    </row>
    <row r="36" spans="1:12" ht="16.350000000000001" customHeight="1">
      <c r="A36" s="148">
        <v>26</v>
      </c>
      <c r="B36" s="56"/>
      <c r="C36" s="199" t="s">
        <v>132</v>
      </c>
      <c r="D36" s="193">
        <f>'MORE Approved Formula w''19 Data'!H38</f>
        <v>6.073085946837456E-2</v>
      </c>
      <c r="E36" s="72">
        <f t="shared" si="0"/>
        <v>51416.628282569422</v>
      </c>
      <c r="F36" s="69">
        <f t="shared" si="2"/>
        <v>1000</v>
      </c>
      <c r="G36" s="324"/>
      <c r="H36" s="200">
        <f t="shared" si="3"/>
        <v>50416.628282569422</v>
      </c>
      <c r="I36" s="169">
        <f t="shared" si="1"/>
        <v>61</v>
      </c>
      <c r="J36" s="72">
        <f t="shared" si="4"/>
        <v>11792</v>
      </c>
      <c r="K36" s="72">
        <f t="shared" si="5"/>
        <v>38624.628282569422</v>
      </c>
      <c r="L36" t="s">
        <v>259</v>
      </c>
    </row>
    <row r="37" spans="1:12" ht="16.350000000000001" customHeight="1">
      <c r="A37" s="148">
        <v>27</v>
      </c>
      <c r="B37" s="56"/>
      <c r="C37" s="199" t="s">
        <v>133</v>
      </c>
      <c r="D37" s="193">
        <f>'MORE Approved Formula w''19 Data'!H44</f>
        <v>5.7547296350498418E-3</v>
      </c>
      <c r="E37" s="72">
        <f t="shared" si="0"/>
        <v>4872.1325056518826</v>
      </c>
      <c r="F37" s="69">
        <f t="shared" si="2"/>
        <v>1000</v>
      </c>
      <c r="G37" s="324"/>
      <c r="H37" s="200">
        <f t="shared" si="3"/>
        <v>3872.1325056518826</v>
      </c>
      <c r="I37" s="169">
        <f t="shared" si="1"/>
        <v>6</v>
      </c>
      <c r="J37" s="72">
        <f t="shared" si="4"/>
        <v>1117</v>
      </c>
      <c r="K37" s="72">
        <f t="shared" si="5"/>
        <v>2755.1325056518826</v>
      </c>
      <c r="L37" t="s">
        <v>259</v>
      </c>
    </row>
    <row r="38" spans="1:12" ht="16.350000000000001" customHeight="1">
      <c r="A38" s="148">
        <v>28</v>
      </c>
      <c r="B38" s="56"/>
      <c r="C38" s="199" t="s">
        <v>134</v>
      </c>
      <c r="D38" s="193">
        <f>'MORE Approved Formula w''19 Data'!H54</f>
        <v>1.4782942965625611E-2</v>
      </c>
      <c r="E38" s="72">
        <f t="shared" si="0"/>
        <v>12515.697785930577</v>
      </c>
      <c r="F38" s="69">
        <f t="shared" si="2"/>
        <v>1000</v>
      </c>
      <c r="G38" s="324"/>
      <c r="H38" s="200">
        <f t="shared" si="3"/>
        <v>11515.697785930577</v>
      </c>
      <c r="I38" s="169">
        <f t="shared" si="1"/>
        <v>15</v>
      </c>
      <c r="J38" s="72">
        <f t="shared" si="4"/>
        <v>2870</v>
      </c>
      <c r="K38" s="72">
        <f t="shared" si="5"/>
        <v>8645.6977859305771</v>
      </c>
      <c r="L38" t="s">
        <v>259</v>
      </c>
    </row>
    <row r="39" spans="1:12" ht="16.350000000000001" customHeight="1">
      <c r="A39" s="148">
        <v>29</v>
      </c>
      <c r="B39" s="56"/>
      <c r="C39" s="199" t="s">
        <v>135</v>
      </c>
      <c r="D39" s="193">
        <f>'MORE Approved Formula w''19 Data'!H22</f>
        <v>6.4612805739330731E-2</v>
      </c>
      <c r="E39" s="72">
        <f t="shared" si="0"/>
        <v>54703.204335895316</v>
      </c>
      <c r="F39" s="69">
        <f t="shared" si="2"/>
        <v>1000</v>
      </c>
      <c r="G39" s="324">
        <f>'MORE Approved Formula w''19 Data'!K22</f>
        <v>4063.4159904242183</v>
      </c>
      <c r="H39" s="200">
        <f t="shared" si="3"/>
        <v>49639.788345471097</v>
      </c>
      <c r="I39" s="169">
        <f t="shared" si="1"/>
        <v>65</v>
      </c>
      <c r="J39" s="72">
        <f t="shared" si="4"/>
        <v>12546</v>
      </c>
      <c r="K39" s="72">
        <f t="shared" si="5"/>
        <v>37093.788345471097</v>
      </c>
      <c r="L39" t="s">
        <v>259</v>
      </c>
    </row>
    <row r="40" spans="1:12" ht="16.350000000000001" customHeight="1">
      <c r="A40" s="148">
        <v>30</v>
      </c>
      <c r="B40" s="56"/>
      <c r="C40" s="199" t="s">
        <v>136</v>
      </c>
      <c r="D40" s="193">
        <f>'MORE Approved Formula w''19 Data'!H50</f>
        <v>1.9269979790350174E-2</v>
      </c>
      <c r="E40" s="72">
        <f t="shared" si="0"/>
        <v>16314.562259883958</v>
      </c>
      <c r="F40" s="69">
        <f t="shared" si="2"/>
        <v>1000</v>
      </c>
      <c r="G40" s="324"/>
      <c r="H40" s="200">
        <f t="shared" si="3"/>
        <v>15314.562259883958</v>
      </c>
      <c r="I40" s="169">
        <f t="shared" si="1"/>
        <v>19</v>
      </c>
      <c r="J40" s="72">
        <f t="shared" si="4"/>
        <v>3742</v>
      </c>
      <c r="K40" s="72">
        <f t="shared" si="5"/>
        <v>11572.562259883958</v>
      </c>
      <c r="L40" t="s">
        <v>259</v>
      </c>
    </row>
    <row r="41" spans="1:12" ht="16.350000000000001" customHeight="1">
      <c r="A41" s="148">
        <v>31</v>
      </c>
      <c r="B41" s="56"/>
      <c r="C41" s="199" t="s">
        <v>137</v>
      </c>
      <c r="D41" s="193">
        <f>'MORE Approved Formula w''19 Data'!H31</f>
        <v>8.5160407070455028E-3</v>
      </c>
      <c r="E41" s="72">
        <f t="shared" si="0"/>
        <v>7209.9440598466408</v>
      </c>
      <c r="F41" s="69">
        <f t="shared" si="2"/>
        <v>1000</v>
      </c>
      <c r="G41" s="324"/>
      <c r="H41" s="200">
        <f t="shared" si="3"/>
        <v>6209.9440598466408</v>
      </c>
      <c r="I41" s="169">
        <f t="shared" si="1"/>
        <v>9</v>
      </c>
      <c r="J41" s="72">
        <f t="shared" si="4"/>
        <v>1654</v>
      </c>
      <c r="K41" s="72">
        <f t="shared" si="5"/>
        <v>4555.9440598466408</v>
      </c>
    </row>
    <row r="42" spans="1:12" ht="16.350000000000001" customHeight="1">
      <c r="A42" s="148">
        <v>32</v>
      </c>
      <c r="B42" s="56"/>
      <c r="C42" s="199" t="s">
        <v>138</v>
      </c>
      <c r="D42" s="193">
        <f>'MORE Approved Formula w''19 Data'!H53</f>
        <v>8.2996693170756929E-3</v>
      </c>
      <c r="E42" s="72">
        <f t="shared" si="0"/>
        <v>7026.7573335851112</v>
      </c>
      <c r="F42" s="69">
        <f t="shared" si="2"/>
        <v>1000</v>
      </c>
      <c r="G42" s="324"/>
      <c r="H42" s="200">
        <f t="shared" si="3"/>
        <v>6026.7573335851112</v>
      </c>
      <c r="I42" s="169">
        <f t="shared" si="1"/>
        <v>8</v>
      </c>
      <c r="J42" s="72">
        <f t="shared" si="4"/>
        <v>1612</v>
      </c>
      <c r="K42" s="72">
        <f t="shared" si="5"/>
        <v>4414.7573335851112</v>
      </c>
      <c r="L42" t="s">
        <v>259</v>
      </c>
    </row>
    <row r="43" spans="1:12" ht="16.350000000000001" customHeight="1">
      <c r="A43" s="148">
        <v>33</v>
      </c>
      <c r="B43" s="56"/>
      <c r="C43" s="199" t="s">
        <v>139</v>
      </c>
      <c r="D43" s="193">
        <f>'MORE Approved Formula w''19 Data'!H30</f>
        <v>4.0155157956734714E-3</v>
      </c>
      <c r="E43" s="72">
        <f t="shared" si="0"/>
        <v>3399.660153606827</v>
      </c>
      <c r="F43" s="69">
        <f t="shared" si="2"/>
        <v>1000</v>
      </c>
      <c r="G43" s="324"/>
      <c r="H43" s="200">
        <f t="shared" si="3"/>
        <v>2399.660153606827</v>
      </c>
      <c r="I43" s="169">
        <f t="shared" si="1"/>
        <v>4</v>
      </c>
      <c r="J43" s="72">
        <f t="shared" si="4"/>
        <v>780</v>
      </c>
      <c r="K43" s="72">
        <f t="shared" si="5"/>
        <v>1619.660153606827</v>
      </c>
    </row>
    <row r="44" spans="1:12" ht="16.350000000000001" customHeight="1">
      <c r="A44" s="148">
        <v>34</v>
      </c>
      <c r="B44" s="56"/>
      <c r="C44" s="199" t="s">
        <v>140</v>
      </c>
      <c r="D44" s="193">
        <f>'MORE Approved Formula w''19 Data'!H34</f>
        <v>1.4601228464958326E-2</v>
      </c>
      <c r="E44" s="72">
        <f t="shared" si="0"/>
        <v>12361.852656516132</v>
      </c>
      <c r="F44" s="69">
        <f t="shared" si="2"/>
        <v>1000</v>
      </c>
      <c r="G44" s="324"/>
      <c r="H44" s="200">
        <f t="shared" si="3"/>
        <v>11361.852656516132</v>
      </c>
      <c r="I44" s="169">
        <f t="shared" si="1"/>
        <v>15</v>
      </c>
      <c r="J44" s="72">
        <f t="shared" si="4"/>
        <v>2835</v>
      </c>
      <c r="K44" s="72">
        <f t="shared" si="5"/>
        <v>8526.8526565161319</v>
      </c>
    </row>
    <row r="45" spans="1:12" ht="16.350000000000001" customHeight="1">
      <c r="A45" s="148">
        <v>35</v>
      </c>
      <c r="B45" s="56"/>
      <c r="C45" s="199" t="s">
        <v>141</v>
      </c>
      <c r="D45" s="193">
        <f>'MORE Approved Formula w''19 Data'!H48</f>
        <v>3.0200388007292561E-2</v>
      </c>
      <c r="E45" s="72">
        <f t="shared" si="0"/>
        <v>25568.584699002109</v>
      </c>
      <c r="F45" s="69">
        <f t="shared" si="2"/>
        <v>1000</v>
      </c>
      <c r="G45" s="324"/>
      <c r="H45" s="200">
        <f t="shared" si="3"/>
        <v>24568.584699002109</v>
      </c>
      <c r="I45" s="169">
        <f t="shared" si="1"/>
        <v>30</v>
      </c>
      <c r="J45" s="72">
        <f t="shared" si="4"/>
        <v>5864</v>
      </c>
      <c r="K45" s="72">
        <f t="shared" si="5"/>
        <v>18704.584699002109</v>
      </c>
      <c r="L45" t="s">
        <v>259</v>
      </c>
    </row>
    <row r="46" spans="1:12" ht="17.100000000000001" customHeight="1">
      <c r="A46" s="149">
        <v>36</v>
      </c>
      <c r="B46" s="58"/>
      <c r="C46" s="166" t="s">
        <v>142</v>
      </c>
      <c r="D46" s="193">
        <f>'MORE Approved Formula w''19 Data'!H21</f>
        <v>9.7608787038847931E-3</v>
      </c>
      <c r="E46" s="72">
        <f t="shared" si="0"/>
        <v>8263.8624979486867</v>
      </c>
      <c r="F46" s="201">
        <f t="shared" si="2"/>
        <v>1000</v>
      </c>
      <c r="G46" s="325"/>
      <c r="H46" s="200">
        <f t="shared" si="3"/>
        <v>7263.8624979486867</v>
      </c>
      <c r="I46" s="169">
        <f t="shared" si="1"/>
        <v>10</v>
      </c>
      <c r="J46" s="72">
        <f t="shared" si="4"/>
        <v>1895</v>
      </c>
      <c r="K46" s="72">
        <f t="shared" si="5"/>
        <v>5368.8624979486867</v>
      </c>
    </row>
    <row r="47" spans="1:12" ht="17.100000000000001" customHeight="1">
      <c r="A47" s="149">
        <v>37</v>
      </c>
      <c r="B47" s="58"/>
      <c r="C47" s="166" t="s">
        <v>143</v>
      </c>
      <c r="D47" s="193">
        <f>'MORE Approved Formula w''19 Data'!H11</f>
        <v>7.6370670605187966E-3</v>
      </c>
      <c r="E47" s="72">
        <f t="shared" si="0"/>
        <v>6465.777722514089</v>
      </c>
      <c r="F47" s="201">
        <f t="shared" si="2"/>
        <v>1000</v>
      </c>
      <c r="G47" s="325"/>
      <c r="H47" s="200">
        <f t="shared" si="3"/>
        <v>5465.777722514089</v>
      </c>
      <c r="I47" s="169">
        <f t="shared" si="1"/>
        <v>8</v>
      </c>
      <c r="J47" s="72">
        <f t="shared" si="4"/>
        <v>1483</v>
      </c>
      <c r="K47" s="72">
        <f t="shared" si="5"/>
        <v>3982.777722514089</v>
      </c>
    </row>
    <row r="48" spans="1:12" ht="17.100000000000001" customHeight="1">
      <c r="A48" s="149">
        <v>38</v>
      </c>
      <c r="B48" s="58"/>
      <c r="C48" s="166" t="s">
        <v>144</v>
      </c>
      <c r="D48" s="193">
        <f>'MORE Approved Formula w''19 Data'!H18</f>
        <v>8.2537723555669452E-3</v>
      </c>
      <c r="E48" s="72">
        <f t="shared" si="0"/>
        <v>6987.8995431659987</v>
      </c>
      <c r="F48" s="201">
        <f t="shared" si="2"/>
        <v>1000</v>
      </c>
      <c r="G48" s="325"/>
      <c r="H48" s="200">
        <f t="shared" si="3"/>
        <v>5987.8995431659987</v>
      </c>
      <c r="I48" s="169">
        <f t="shared" si="1"/>
        <v>8</v>
      </c>
      <c r="J48" s="72">
        <f t="shared" si="4"/>
        <v>1603</v>
      </c>
      <c r="K48" s="72">
        <f t="shared" si="5"/>
        <v>4384.8995431659987</v>
      </c>
    </row>
    <row r="49" spans="1:12" ht="17.100000000000001" customHeight="1">
      <c r="A49" s="149">
        <v>39</v>
      </c>
      <c r="B49" s="58"/>
      <c r="C49" s="166" t="s">
        <v>145</v>
      </c>
      <c r="D49" s="193">
        <f>'MORE Approved Formula w''19 Data'!H46</f>
        <v>7.4190096597180543E-3</v>
      </c>
      <c r="E49" s="72">
        <f t="shared" si="0"/>
        <v>6281.1635672167558</v>
      </c>
      <c r="F49" s="201">
        <f t="shared" si="2"/>
        <v>1000</v>
      </c>
      <c r="G49" s="325"/>
      <c r="H49" s="200">
        <f t="shared" si="3"/>
        <v>5281.1635672167558</v>
      </c>
      <c r="I49" s="169">
        <f t="shared" si="1"/>
        <v>7</v>
      </c>
      <c r="J49" s="72">
        <f t="shared" si="4"/>
        <v>1441</v>
      </c>
      <c r="K49" s="72">
        <f t="shared" si="5"/>
        <v>3840.1635672167558</v>
      </c>
    </row>
    <row r="50" spans="1:12" ht="17.100000000000001" customHeight="1">
      <c r="A50" s="149">
        <v>40</v>
      </c>
      <c r="B50" s="58"/>
      <c r="C50" s="166" t="s">
        <v>146</v>
      </c>
      <c r="D50" s="193">
        <f>'MORE Approved Formula w''19 Data'!H45</f>
        <v>1.489590569129816E-2</v>
      </c>
      <c r="E50" s="72">
        <f t="shared" si="0"/>
        <v>12611.335531329452</v>
      </c>
      <c r="F50" s="201">
        <f t="shared" si="2"/>
        <v>1000</v>
      </c>
      <c r="G50" s="325"/>
      <c r="H50" s="200">
        <f t="shared" si="3"/>
        <v>11611.335531329452</v>
      </c>
      <c r="I50" s="169">
        <f t="shared" si="1"/>
        <v>15</v>
      </c>
      <c r="J50" s="72">
        <f t="shared" si="4"/>
        <v>2892</v>
      </c>
      <c r="K50" s="72">
        <f t="shared" si="5"/>
        <v>8719.3355313294524</v>
      </c>
    </row>
    <row r="51" spans="1:12" ht="17.100000000000001" customHeight="1">
      <c r="A51" s="149">
        <v>41</v>
      </c>
      <c r="B51" s="58"/>
      <c r="C51" s="166" t="s">
        <v>147</v>
      </c>
      <c r="D51" s="193">
        <f>'MORE Approved Formula w''19 Data'!H55</f>
        <v>9.6775148350219664E-3</v>
      </c>
      <c r="E51" s="72">
        <f t="shared" si="0"/>
        <v>8193.2840622894819</v>
      </c>
      <c r="F51" s="201">
        <f t="shared" si="2"/>
        <v>1000</v>
      </c>
      <c r="G51" s="325"/>
      <c r="H51" s="200">
        <f t="shared" si="3"/>
        <v>7193.2840622894819</v>
      </c>
      <c r="I51" s="169">
        <f t="shared" si="1"/>
        <v>10</v>
      </c>
      <c r="J51" s="72">
        <f t="shared" si="4"/>
        <v>1879</v>
      </c>
      <c r="K51" s="72">
        <f t="shared" si="5"/>
        <v>5314.2840622894819</v>
      </c>
      <c r="L51" t="s">
        <v>259</v>
      </c>
    </row>
    <row r="52" spans="1:12" ht="17.100000000000001" customHeight="1">
      <c r="A52" s="149">
        <v>42</v>
      </c>
      <c r="B52" s="58"/>
      <c r="C52" s="166" t="s">
        <v>148</v>
      </c>
      <c r="D52" s="193">
        <f>'MORE Approved Formula w''19 Data'!H14</f>
        <v>1.8952822419597889E-2</v>
      </c>
      <c r="E52" s="72">
        <f t="shared" si="0"/>
        <v>16046.04699792658</v>
      </c>
      <c r="F52" s="201">
        <f t="shared" si="2"/>
        <v>1000</v>
      </c>
      <c r="G52" s="325"/>
      <c r="H52" s="200">
        <f t="shared" si="3"/>
        <v>15046.04699792658</v>
      </c>
      <c r="I52" s="169">
        <f t="shared" si="1"/>
        <v>19</v>
      </c>
      <c r="J52" s="72">
        <f t="shared" si="4"/>
        <v>3680</v>
      </c>
      <c r="K52" s="72">
        <f t="shared" si="5"/>
        <v>11366.04699792658</v>
      </c>
      <c r="L52" t="s">
        <v>259</v>
      </c>
    </row>
    <row r="53" spans="1:12" ht="17.100000000000001" customHeight="1">
      <c r="A53" s="149">
        <v>43</v>
      </c>
      <c r="B53" s="58"/>
      <c r="C53" s="166" t="s">
        <v>149</v>
      </c>
      <c r="D53" s="193">
        <f>'MORE Approved Formula w''19 Data'!H17</f>
        <v>5.9845891116671202E-3</v>
      </c>
      <c r="E53" s="72">
        <f t="shared" si="0"/>
        <v>5066.7386641998455</v>
      </c>
      <c r="F53" s="201">
        <f t="shared" si="2"/>
        <v>1000</v>
      </c>
      <c r="G53" s="325"/>
      <c r="H53" s="200">
        <f t="shared" si="3"/>
        <v>4066.7386641998455</v>
      </c>
      <c r="I53" s="169">
        <f t="shared" si="1"/>
        <v>6</v>
      </c>
      <c r="J53" s="72">
        <f t="shared" si="4"/>
        <v>1162</v>
      </c>
      <c r="K53" s="72">
        <f t="shared" si="5"/>
        <v>2904.7386641998455</v>
      </c>
    </row>
    <row r="54" spans="1:12" ht="17.100000000000001" customHeight="1">
      <c r="A54" s="149">
        <v>44</v>
      </c>
      <c r="B54" s="58"/>
      <c r="C54" s="166" t="s">
        <v>150</v>
      </c>
      <c r="D54" s="193">
        <f>'MORE Approved Formula w''19 Data'!H19</f>
        <v>6.7517240397418979E-3</v>
      </c>
      <c r="E54" s="72">
        <f t="shared" si="0"/>
        <v>5716.2188754907229</v>
      </c>
      <c r="F54" s="201">
        <f t="shared" si="2"/>
        <v>1000</v>
      </c>
      <c r="G54" s="325"/>
      <c r="H54" s="200">
        <f t="shared" si="3"/>
        <v>4716.2188754907229</v>
      </c>
      <c r="I54" s="169">
        <f t="shared" si="1"/>
        <v>7</v>
      </c>
      <c r="J54" s="72">
        <f t="shared" si="4"/>
        <v>1311</v>
      </c>
      <c r="K54" s="72">
        <f t="shared" si="5"/>
        <v>3405.2188754907229</v>
      </c>
    </row>
    <row r="55" spans="1:12" ht="17.100000000000001" customHeight="1">
      <c r="A55" s="149">
        <v>45</v>
      </c>
      <c r="B55" s="58"/>
      <c r="C55" s="166" t="s">
        <v>151</v>
      </c>
      <c r="D55" s="193">
        <f>'MORE Approved Formula w''19 Data'!H25</f>
        <v>1.816152133627973E-2</v>
      </c>
      <c r="E55" s="72">
        <f t="shared" si="0"/>
        <v>15376.106970455843</v>
      </c>
      <c r="F55" s="201">
        <f t="shared" si="2"/>
        <v>1000</v>
      </c>
      <c r="G55" s="325"/>
      <c r="H55" s="200">
        <f t="shared" si="3"/>
        <v>14376.106970455843</v>
      </c>
      <c r="I55" s="169">
        <f t="shared" si="1"/>
        <v>18</v>
      </c>
      <c r="J55" s="72">
        <f t="shared" si="4"/>
        <v>3526</v>
      </c>
      <c r="K55" s="72">
        <f t="shared" si="5"/>
        <v>10850.106970455843</v>
      </c>
    </row>
    <row r="56" spans="1:12" ht="17.100000000000001" customHeight="1">
      <c r="A56" s="149">
        <v>46</v>
      </c>
      <c r="B56" s="58"/>
      <c r="C56" s="166" t="s">
        <v>152</v>
      </c>
      <c r="D56" s="193">
        <f>'MORE Approved Formula w''19 Data'!H36</f>
        <v>2.7286211953292255E-2</v>
      </c>
      <c r="E56" s="72">
        <f t="shared" si="0"/>
        <v>23101.352912227776</v>
      </c>
      <c r="F56" s="201">
        <f t="shared" si="2"/>
        <v>1000</v>
      </c>
      <c r="G56" s="325"/>
      <c r="H56" s="200">
        <f t="shared" si="3"/>
        <v>22101.352912227776</v>
      </c>
      <c r="I56" s="169">
        <f t="shared" si="1"/>
        <v>27</v>
      </c>
      <c r="J56" s="72">
        <f t="shared" si="4"/>
        <v>5298</v>
      </c>
      <c r="K56" s="72">
        <f t="shared" si="5"/>
        <v>16803.352912227776</v>
      </c>
      <c r="L56" s="249" t="s">
        <v>259</v>
      </c>
    </row>
    <row r="57" spans="1:12" ht="17.100000000000001" customHeight="1">
      <c r="A57" s="149">
        <v>47</v>
      </c>
      <c r="B57" s="58"/>
      <c r="C57" s="166" t="s">
        <v>153</v>
      </c>
      <c r="D57" s="193">
        <f>'MORE Approved Formula w''19 Data'!H56</f>
        <v>6.6975843586152533E-3</v>
      </c>
      <c r="E57" s="72">
        <f t="shared" si="0"/>
        <v>5670.3825431187906</v>
      </c>
      <c r="F57" s="201">
        <f t="shared" si="2"/>
        <v>1000</v>
      </c>
      <c r="G57" s="325"/>
      <c r="H57" s="200">
        <f t="shared" si="3"/>
        <v>4670.3825431187906</v>
      </c>
      <c r="I57" s="169">
        <f t="shared" si="1"/>
        <v>7</v>
      </c>
      <c r="J57" s="72">
        <f t="shared" si="4"/>
        <v>1300</v>
      </c>
      <c r="K57" s="72">
        <f t="shared" si="5"/>
        <v>3370.3825431187906</v>
      </c>
    </row>
    <row r="58" spans="1:12" ht="17.100000000000001" customHeight="1">
      <c r="A58" s="149">
        <v>48</v>
      </c>
      <c r="B58" s="58"/>
      <c r="C58" s="166" t="s">
        <v>154</v>
      </c>
      <c r="D58" s="193">
        <f>'MORE Approved Formula w''19 Data'!H51</f>
        <v>3.3043938940930423E-3</v>
      </c>
      <c r="E58" s="72">
        <f t="shared" si="0"/>
        <v>2797.6023069498865</v>
      </c>
      <c r="F58" s="201">
        <f t="shared" si="2"/>
        <v>1000</v>
      </c>
      <c r="G58" s="325"/>
      <c r="H58" s="200">
        <f t="shared" si="3"/>
        <v>1797.6023069498865</v>
      </c>
      <c r="I58" s="169">
        <f>ROUND(D58*1000,0)</f>
        <v>3</v>
      </c>
      <c r="J58" s="72">
        <f t="shared" si="4"/>
        <v>642</v>
      </c>
      <c r="K58" s="72">
        <f t="shared" si="5"/>
        <v>1155.6023069498865</v>
      </c>
    </row>
    <row r="59" spans="1:12" ht="17.100000000000001" customHeight="1">
      <c r="A59" s="149">
        <v>49</v>
      </c>
      <c r="B59" s="58"/>
      <c r="C59" s="166" t="s">
        <v>155</v>
      </c>
      <c r="D59" s="193">
        <f>'MORE Approved Formula w''19 Data'!H15</f>
        <v>1.7631364597219507E-2</v>
      </c>
      <c r="E59" s="72">
        <f t="shared" si="0"/>
        <v>14927.259840308549</v>
      </c>
      <c r="F59" s="201">
        <f t="shared" si="2"/>
        <v>1000</v>
      </c>
      <c r="G59" s="325"/>
      <c r="H59" s="200">
        <f t="shared" si="3"/>
        <v>13927.259840308549</v>
      </c>
      <c r="I59" s="169">
        <f>ROUND(D59*1000,0)</f>
        <v>18</v>
      </c>
      <c r="J59" s="72">
        <f t="shared" si="4"/>
        <v>3423</v>
      </c>
      <c r="K59" s="72">
        <f t="shared" si="5"/>
        <v>10504.259840308549</v>
      </c>
    </row>
    <row r="60" spans="1:12" ht="17.100000000000001" customHeight="1">
      <c r="A60" s="149">
        <v>50</v>
      </c>
      <c r="B60" s="58"/>
      <c r="C60" s="166" t="s">
        <v>156</v>
      </c>
      <c r="D60" s="193">
        <f>'MORE Approved Formula w''19 Data'!H10</f>
        <v>2.5712414509884145E-2</v>
      </c>
      <c r="E60" s="72">
        <f t="shared" si="0"/>
        <v>21768.927208917725</v>
      </c>
      <c r="F60" s="201">
        <f t="shared" si="2"/>
        <v>1000</v>
      </c>
      <c r="G60" s="325"/>
      <c r="H60" s="200">
        <f t="shared" si="3"/>
        <v>20768.927208917725</v>
      </c>
      <c r="I60" s="169">
        <f>ROUND(D60*1000,0)</f>
        <v>26</v>
      </c>
      <c r="J60" s="72">
        <f t="shared" si="4"/>
        <v>4992</v>
      </c>
      <c r="K60" s="72">
        <f t="shared" si="5"/>
        <v>15776.927208917725</v>
      </c>
      <c r="L60" t="s">
        <v>259</v>
      </c>
    </row>
    <row r="61" spans="1:12" ht="17.100000000000001" customHeight="1">
      <c r="A61" s="149">
        <v>51</v>
      </c>
      <c r="B61" s="58"/>
      <c r="C61" s="166" t="s">
        <v>157</v>
      </c>
      <c r="D61" s="193">
        <f>'MORE Approved Formula w''19 Data'!H41</f>
        <v>5.4207121559882235E-3</v>
      </c>
      <c r="E61" s="72">
        <f t="shared" si="0"/>
        <v>4589.3429533364661</v>
      </c>
      <c r="F61" s="201">
        <f t="shared" si="2"/>
        <v>1000</v>
      </c>
      <c r="G61" s="325"/>
      <c r="H61" s="200">
        <f t="shared" si="3"/>
        <v>3589.3429533364661</v>
      </c>
      <c r="I61" s="169"/>
      <c r="J61" s="72">
        <f t="shared" si="4"/>
        <v>1053</v>
      </c>
      <c r="K61" s="72">
        <f t="shared" si="5"/>
        <v>2536.3429533364661</v>
      </c>
    </row>
    <row r="62" spans="1:12" ht="17.100000000000001" customHeight="1">
      <c r="A62" s="148"/>
      <c r="B62" s="56"/>
      <c r="C62" s="56" t="s">
        <v>158</v>
      </c>
      <c r="D62" s="56"/>
      <c r="E62" s="73"/>
      <c r="F62" s="70"/>
      <c r="G62" s="326"/>
      <c r="H62" s="200">
        <f>SUM(E11:E61)-SUM(H11:H61)</f>
        <v>69000.000000000116</v>
      </c>
      <c r="I62" s="170"/>
      <c r="J62" s="6"/>
      <c r="K62" s="6"/>
    </row>
    <row r="63" spans="1:12" ht="5.25" customHeight="1" thickBot="1">
      <c r="A63" s="149"/>
      <c r="B63" s="58"/>
      <c r="C63" s="58"/>
      <c r="D63" s="58"/>
      <c r="E63" s="74"/>
      <c r="F63" s="71"/>
      <c r="G63" s="327"/>
      <c r="H63" s="171"/>
      <c r="I63" s="172"/>
      <c r="J63" s="16"/>
      <c r="K63" s="16"/>
    </row>
    <row r="64" spans="1:12" ht="18.75" customHeight="1" thickBot="1">
      <c r="A64" s="59"/>
      <c r="B64" s="60"/>
      <c r="C64" s="61" t="s">
        <v>159</v>
      </c>
      <c r="D64" s="79">
        <f>SUM(D11:D62)</f>
        <v>1</v>
      </c>
      <c r="E64" s="75">
        <f>SUM(E11:E63)</f>
        <v>846631.00000000012</v>
      </c>
      <c r="F64" s="145">
        <f>SUM(F11:F63)</f>
        <v>49000</v>
      </c>
      <c r="G64" s="145">
        <f>SUM(G11:G63)</f>
        <v>20000</v>
      </c>
      <c r="H64" s="146">
        <f>SUM(H11:H63)-H62</f>
        <v>777631</v>
      </c>
      <c r="I64" s="173">
        <f>SUM(I11:I62)</f>
        <v>997</v>
      </c>
      <c r="J64" s="75">
        <f>SUM(J11:J63)</f>
        <v>194166</v>
      </c>
      <c r="K64" s="75">
        <f>SUM(K11:K63)</f>
        <v>583464.99999999988</v>
      </c>
    </row>
    <row r="65" spans="1:8" ht="13.5" customHeight="1">
      <c r="A65" s="29"/>
      <c r="B65" s="31"/>
      <c r="C65" s="29"/>
      <c r="D65" s="29"/>
      <c r="E65" s="137" t="s">
        <v>160</v>
      </c>
      <c r="F65" s="29"/>
      <c r="G65" s="29"/>
      <c r="H65" s="29"/>
    </row>
    <row r="66" spans="1:8" ht="27" hidden="1" customHeight="1">
      <c r="A66" s="29"/>
      <c r="B66" s="29"/>
      <c r="C66" s="29"/>
      <c r="D66" s="29"/>
      <c r="E66" s="53"/>
      <c r="F66" s="52" t="s">
        <v>161</v>
      </c>
      <c r="G66" s="52"/>
      <c r="H66" s="45">
        <v>0</v>
      </c>
    </row>
    <row r="67" spans="1:8">
      <c r="A67" s="29"/>
      <c r="B67" s="29"/>
      <c r="C67" s="29" t="s">
        <v>162</v>
      </c>
      <c r="D67" s="29"/>
      <c r="E67" s="54"/>
      <c r="F67" s="29"/>
      <c r="G67" s="29"/>
      <c r="H67" s="29"/>
    </row>
    <row r="68" spans="1:8">
      <c r="A68" s="29"/>
      <c r="B68" s="29"/>
      <c r="C68" s="29"/>
      <c r="D68" s="29"/>
      <c r="E68" s="29"/>
      <c r="F68" s="29"/>
      <c r="G68" s="29"/>
      <c r="H68" s="29"/>
    </row>
    <row r="69" spans="1:8">
      <c r="F69" s="55"/>
      <c r="G69" s="55"/>
    </row>
    <row r="70" spans="1:8" ht="15.75" thickBot="1">
      <c r="A70" s="221" t="s">
        <v>259</v>
      </c>
      <c r="B70" s="154" t="s">
        <v>331</v>
      </c>
      <c r="C70" s="154"/>
      <c r="D70" s="153"/>
      <c r="E70" s="153"/>
      <c r="F70" s="153"/>
      <c r="G70" s="153"/>
      <c r="H70" s="297">
        <v>340</v>
      </c>
    </row>
    <row r="71" spans="1:8" ht="19.5" customHeight="1">
      <c r="C71" s="133" t="s">
        <v>163</v>
      </c>
      <c r="D71" s="298">
        <f>$H$70*F71</f>
        <v>680</v>
      </c>
      <c r="E71" s="133" t="s">
        <v>329</v>
      </c>
      <c r="F71" s="296">
        <v>2</v>
      </c>
      <c r="G71" s="296"/>
      <c r="H71" s="235"/>
    </row>
    <row r="72" spans="1:8" ht="14.25" customHeight="1">
      <c r="C72" s="133" t="s">
        <v>164</v>
      </c>
      <c r="D72" s="299">
        <f>$H$70*F72</f>
        <v>340</v>
      </c>
      <c r="E72" s="133" t="s">
        <v>329</v>
      </c>
      <c r="F72" s="296">
        <v>1</v>
      </c>
      <c r="G72" s="296"/>
    </row>
    <row r="73" spans="1:8" ht="14.25" customHeight="1">
      <c r="C73" s="133" t="s">
        <v>165</v>
      </c>
      <c r="D73" s="299">
        <f t="shared" ref="D73:D75" si="6">$H$70*F73</f>
        <v>340</v>
      </c>
      <c r="E73" s="133" t="s">
        <v>329</v>
      </c>
      <c r="F73" s="296">
        <v>1</v>
      </c>
      <c r="G73" s="296"/>
    </row>
    <row r="74" spans="1:8" ht="14.25" customHeight="1">
      <c r="C74" s="133" t="s">
        <v>166</v>
      </c>
      <c r="D74" s="299">
        <f t="shared" si="6"/>
        <v>340</v>
      </c>
      <c r="E74" s="133" t="s">
        <v>329</v>
      </c>
      <c r="F74" s="296">
        <v>1</v>
      </c>
      <c r="G74" s="296"/>
    </row>
    <row r="75" spans="1:8" ht="14.25" customHeight="1">
      <c r="C75" s="133" t="s">
        <v>167</v>
      </c>
      <c r="D75" s="299">
        <f t="shared" si="6"/>
        <v>340</v>
      </c>
      <c r="E75" s="133" t="s">
        <v>329</v>
      </c>
      <c r="F75" s="296">
        <v>1</v>
      </c>
      <c r="G75" s="296"/>
    </row>
    <row r="76" spans="1:8" ht="30" customHeight="1">
      <c r="C76" s="256" t="s">
        <v>321</v>
      </c>
      <c r="D76" s="299">
        <v>1697</v>
      </c>
      <c r="E76" s="133" t="s">
        <v>330</v>
      </c>
      <c r="F76" s="296"/>
      <c r="G76" s="296"/>
    </row>
    <row r="77" spans="1:8">
      <c r="A77" s="249"/>
      <c r="B77" s="249"/>
      <c r="C77" s="256" t="s">
        <v>310</v>
      </c>
      <c r="D77" s="299">
        <f>$H$70*F77</f>
        <v>2040</v>
      </c>
      <c r="E77" s="133" t="s">
        <v>329</v>
      </c>
      <c r="F77" s="296">
        <v>6</v>
      </c>
      <c r="G77" s="296"/>
      <c r="H77" s="249"/>
    </row>
    <row r="78" spans="1:8">
      <c r="C78" s="133" t="s">
        <v>169</v>
      </c>
      <c r="D78" s="299">
        <f>$H$70*F78</f>
        <v>340</v>
      </c>
      <c r="E78" s="133" t="s">
        <v>329</v>
      </c>
      <c r="F78" s="296">
        <v>1</v>
      </c>
      <c r="G78" s="296"/>
    </row>
    <row r="79" spans="1:8">
      <c r="A79" s="249"/>
      <c r="B79" s="249"/>
      <c r="C79" s="133" t="s">
        <v>218</v>
      </c>
      <c r="D79" s="299">
        <f>$H$70*F79</f>
        <v>340</v>
      </c>
      <c r="E79" s="133" t="s">
        <v>329</v>
      </c>
      <c r="F79" s="296">
        <v>1</v>
      </c>
      <c r="G79" s="296"/>
    </row>
    <row r="80" spans="1:8">
      <c r="C80" s="133" t="s">
        <v>170</v>
      </c>
      <c r="D80" s="299">
        <f t="shared" ref="D80:D92" si="7">$H$70*F80</f>
        <v>340</v>
      </c>
      <c r="E80" s="133" t="s">
        <v>329</v>
      </c>
      <c r="F80" s="296">
        <v>1</v>
      </c>
      <c r="G80" s="296"/>
    </row>
    <row r="81" spans="1:9">
      <c r="C81" s="133" t="s">
        <v>172</v>
      </c>
      <c r="D81" s="299">
        <f t="shared" si="7"/>
        <v>680</v>
      </c>
      <c r="E81" s="133" t="s">
        <v>329</v>
      </c>
      <c r="F81" s="296">
        <v>2</v>
      </c>
      <c r="G81" s="296"/>
    </row>
    <row r="82" spans="1:9">
      <c r="C82" s="133" t="s">
        <v>173</v>
      </c>
      <c r="D82" s="299">
        <f t="shared" si="7"/>
        <v>680</v>
      </c>
      <c r="E82" s="133" t="s">
        <v>329</v>
      </c>
      <c r="F82" s="296">
        <v>2</v>
      </c>
      <c r="G82" s="296"/>
    </row>
    <row r="83" spans="1:9">
      <c r="C83" s="133" t="s">
        <v>174</v>
      </c>
      <c r="D83" s="299">
        <f t="shared" si="7"/>
        <v>680</v>
      </c>
      <c r="E83" s="133" t="s">
        <v>329</v>
      </c>
      <c r="F83" s="296">
        <v>2</v>
      </c>
      <c r="G83" s="296"/>
    </row>
    <row r="84" spans="1:9" s="249" customFormat="1">
      <c r="C84" s="133" t="s">
        <v>225</v>
      </c>
      <c r="D84" s="299">
        <f t="shared" si="7"/>
        <v>340</v>
      </c>
      <c r="E84" s="133" t="s">
        <v>329</v>
      </c>
      <c r="F84" s="296">
        <v>1</v>
      </c>
      <c r="G84" s="296"/>
    </row>
    <row r="85" spans="1:9">
      <c r="C85" s="133" t="s">
        <v>175</v>
      </c>
      <c r="D85" s="299">
        <f t="shared" si="7"/>
        <v>340</v>
      </c>
      <c r="E85" s="133" t="s">
        <v>329</v>
      </c>
      <c r="F85" s="296">
        <v>1</v>
      </c>
      <c r="G85" s="296"/>
    </row>
    <row r="86" spans="1:9">
      <c r="C86" s="133" t="s">
        <v>176</v>
      </c>
      <c r="D86" s="299">
        <f t="shared" si="7"/>
        <v>340</v>
      </c>
      <c r="E86" s="133" t="s">
        <v>329</v>
      </c>
      <c r="F86" s="296">
        <v>1</v>
      </c>
      <c r="G86" s="296"/>
    </row>
    <row r="87" spans="1:9">
      <c r="C87" s="133" t="s">
        <v>177</v>
      </c>
      <c r="D87" s="299">
        <f t="shared" si="7"/>
        <v>340</v>
      </c>
      <c r="E87" s="133" t="s">
        <v>329</v>
      </c>
      <c r="F87" s="296">
        <v>1</v>
      </c>
      <c r="G87" s="296"/>
    </row>
    <row r="88" spans="1:9" s="249" customFormat="1">
      <c r="A88"/>
      <c r="B88"/>
      <c r="C88" s="133" t="s">
        <v>178</v>
      </c>
      <c r="D88" s="299">
        <f t="shared" si="7"/>
        <v>1020</v>
      </c>
      <c r="E88" s="133" t="s">
        <v>329</v>
      </c>
      <c r="F88" s="296">
        <v>3</v>
      </c>
      <c r="G88" s="296"/>
      <c r="H88"/>
    </row>
    <row r="89" spans="1:9">
      <c r="A89" s="249"/>
      <c r="B89" s="249"/>
      <c r="C89" s="133" t="s">
        <v>233</v>
      </c>
      <c r="D89" s="299">
        <f t="shared" si="7"/>
        <v>340</v>
      </c>
      <c r="E89" s="133" t="s">
        <v>329</v>
      </c>
      <c r="F89" s="296">
        <v>1</v>
      </c>
      <c r="G89" s="296"/>
      <c r="H89" s="249"/>
    </row>
    <row r="90" spans="1:9" ht="15" thickBot="1">
      <c r="A90" s="249"/>
      <c r="B90" s="249"/>
      <c r="C90" s="133" t="s">
        <v>234</v>
      </c>
      <c r="D90" s="299">
        <f t="shared" si="7"/>
        <v>340</v>
      </c>
      <c r="E90" s="133" t="s">
        <v>329</v>
      </c>
      <c r="F90" s="296">
        <v>1</v>
      </c>
      <c r="G90" s="296"/>
    </row>
    <row r="91" spans="1:9" ht="15" thickBot="1">
      <c r="C91" s="133" t="s">
        <v>179</v>
      </c>
      <c r="D91" s="299">
        <f t="shared" si="7"/>
        <v>340</v>
      </c>
      <c r="E91" s="133" t="s">
        <v>329</v>
      </c>
      <c r="F91" s="296">
        <v>1</v>
      </c>
      <c r="G91" s="296"/>
      <c r="I91" s="135"/>
    </row>
    <row r="92" spans="1:9" ht="15" customHeight="1" thickBot="1">
      <c r="C92" s="133" t="s">
        <v>180</v>
      </c>
      <c r="D92" s="299">
        <f t="shared" si="7"/>
        <v>340</v>
      </c>
      <c r="E92" s="133" t="s">
        <v>329</v>
      </c>
      <c r="F92" s="296">
        <v>1</v>
      </c>
      <c r="G92" s="296"/>
    </row>
    <row r="93" spans="1:9" ht="23.25" customHeight="1" thickBot="1">
      <c r="A93" s="135"/>
      <c r="B93" s="135"/>
      <c r="C93" s="136" t="s">
        <v>182</v>
      </c>
      <c r="D93" s="295">
        <f>SUM(D71:D92)</f>
        <v>12577</v>
      </c>
      <c r="E93" s="254"/>
      <c r="F93" s="303">
        <f>SUM(F71:F92)</f>
        <v>32</v>
      </c>
      <c r="G93" s="303"/>
      <c r="H93" s="135"/>
    </row>
    <row r="94" spans="1:9">
      <c r="C94" s="133"/>
    </row>
    <row r="95" spans="1:9" ht="15">
      <c r="C95" s="155"/>
      <c r="D95" s="156"/>
    </row>
  </sheetData>
  <mergeCells count="2">
    <mergeCell ref="J6:K6"/>
    <mergeCell ref="J7:K7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&amp;C&amp;K0000002021 Approved MORE Budget</oddHeader>
    <oddFooter>&amp;C&amp;A</oddFooter>
  </headerFooter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X68"/>
  <sheetViews>
    <sheetView showRuler="0" zoomScaleNormal="100" zoomScalePageLayoutView="96" workbookViewId="0">
      <selection activeCell="N2" sqref="N2"/>
    </sheetView>
  </sheetViews>
  <sheetFormatPr defaultColWidth="8" defaultRowHeight="12.75"/>
  <cols>
    <col min="1" max="1" width="3.75" style="85" customWidth="1"/>
    <col min="2" max="2" width="11.75" style="85" customWidth="1"/>
    <col min="3" max="3" width="9.875" style="85" bestFit="1" customWidth="1"/>
    <col min="4" max="4" width="10.25" style="85" bestFit="1" customWidth="1"/>
    <col min="5" max="5" width="9.875" style="85" bestFit="1" customWidth="1"/>
    <col min="6" max="7" width="9.875" style="85" customWidth="1"/>
    <col min="8" max="8" width="8.375" style="85" customWidth="1"/>
    <col min="9" max="9" width="9.25" style="85" bestFit="1" customWidth="1"/>
    <col min="10" max="10" width="8.5" style="85" bestFit="1" customWidth="1"/>
    <col min="11" max="11" width="6.75" style="85" bestFit="1" customWidth="1"/>
    <col min="12" max="12" width="9.25" style="85" bestFit="1" customWidth="1"/>
    <col min="13" max="13" width="9.25" style="85" customWidth="1"/>
    <col min="14" max="14" width="8.75" style="85" bestFit="1" customWidth="1"/>
    <col min="15" max="15" width="7" style="85" customWidth="1"/>
    <col min="16" max="16" width="0.75" style="85" customWidth="1"/>
    <col min="17" max="17" width="8.125" style="85" customWidth="1"/>
    <col min="18" max="18" width="7.375" style="85" customWidth="1"/>
    <col min="19" max="19" width="8.125" style="85" customWidth="1"/>
    <col min="20" max="20" width="9.125" style="85" customWidth="1"/>
    <col min="21" max="23" width="8" style="85"/>
    <col min="24" max="24" width="9" style="85" bestFit="1" customWidth="1"/>
    <col min="25" max="16384" width="8" style="85"/>
  </cols>
  <sheetData>
    <row r="1" spans="1:24" ht="15" customHeight="1">
      <c r="B1" s="84" t="s">
        <v>354</v>
      </c>
      <c r="H1" s="84" t="s">
        <v>183</v>
      </c>
      <c r="J1" s="202">
        <f>90000+20000</f>
        <v>110000</v>
      </c>
      <c r="K1" s="314"/>
      <c r="L1" s="152"/>
      <c r="R1" s="84"/>
    </row>
    <row r="2" spans="1:24">
      <c r="B2" s="84" t="s">
        <v>372</v>
      </c>
      <c r="H2" s="159" t="s">
        <v>184</v>
      </c>
      <c r="J2" s="203">
        <v>1000</v>
      </c>
      <c r="K2" s="328"/>
      <c r="L2" s="152"/>
    </row>
    <row r="3" spans="1:24">
      <c r="D3" s="87" t="s">
        <v>381</v>
      </c>
      <c r="H3" s="84" t="s">
        <v>378</v>
      </c>
      <c r="J3" s="316">
        <v>20000</v>
      </c>
    </row>
    <row r="4" spans="1:24" ht="13.5" thickBot="1">
      <c r="A4" s="84" t="s">
        <v>375</v>
      </c>
      <c r="B4" s="84"/>
      <c r="D4" s="87" t="s">
        <v>185</v>
      </c>
      <c r="E4" s="87" t="s">
        <v>186</v>
      </c>
      <c r="F4" s="87" t="s">
        <v>187</v>
      </c>
    </row>
    <row r="5" spans="1:24" ht="13.5" thickBot="1">
      <c r="B5" s="85" t="s">
        <v>188</v>
      </c>
      <c r="C5" s="158">
        <f>'2021 Approved budget'!H47</f>
        <v>887631</v>
      </c>
      <c r="D5" s="287">
        <f>J1-(J2*49)-J3</f>
        <v>41000</v>
      </c>
      <c r="E5" s="204">
        <f>C5-D5</f>
        <v>846631</v>
      </c>
      <c r="F5" s="205">
        <f>'2021 Approved budget'!H40</f>
        <v>194165</v>
      </c>
      <c r="I5" s="87">
        <v>7</v>
      </c>
      <c r="J5" s="87">
        <v>8</v>
      </c>
      <c r="K5" s="87"/>
      <c r="L5" s="87">
        <v>9</v>
      </c>
      <c r="M5" s="87"/>
      <c r="N5" s="87">
        <v>10</v>
      </c>
      <c r="O5" s="87">
        <v>11</v>
      </c>
    </row>
    <row r="6" spans="1:24" ht="12" customHeight="1" thickBot="1">
      <c r="C6" s="86"/>
      <c r="D6" s="152"/>
      <c r="I6" s="307" t="s">
        <v>376</v>
      </c>
      <c r="J6" s="308"/>
      <c r="K6" s="308"/>
      <c r="L6" s="308"/>
      <c r="M6" s="308"/>
      <c r="N6" s="308"/>
      <c r="O6" s="309"/>
      <c r="Q6" s="87">
        <v>12</v>
      </c>
      <c r="R6" s="87">
        <v>13</v>
      </c>
      <c r="S6" s="87">
        <v>14</v>
      </c>
      <c r="T6" s="87">
        <v>15</v>
      </c>
    </row>
    <row r="7" spans="1:24" ht="12.75" customHeight="1" thickBot="1"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310" t="s">
        <v>189</v>
      </c>
      <c r="J7" s="311"/>
      <c r="K7" s="311"/>
      <c r="L7" s="311"/>
      <c r="M7" s="311"/>
      <c r="N7" s="311"/>
      <c r="O7" s="312"/>
      <c r="Q7" s="307" t="s">
        <v>355</v>
      </c>
      <c r="R7" s="308"/>
      <c r="S7" s="308"/>
      <c r="T7" s="309"/>
      <c r="X7" s="88"/>
    </row>
    <row r="8" spans="1:24" s="89" customFormat="1" ht="27" customHeight="1" thickBot="1">
      <c r="B8" s="89" t="s">
        <v>190</v>
      </c>
      <c r="C8" s="305" t="s">
        <v>357</v>
      </c>
      <c r="D8" s="90" t="s">
        <v>191</v>
      </c>
      <c r="E8" s="305" t="s">
        <v>358</v>
      </c>
      <c r="F8" s="90" t="s">
        <v>192</v>
      </c>
      <c r="G8" s="90" t="s">
        <v>193</v>
      </c>
      <c r="H8" s="90" t="s">
        <v>194</v>
      </c>
      <c r="I8" s="91" t="s">
        <v>356</v>
      </c>
      <c r="J8" s="90" t="s">
        <v>195</v>
      </c>
      <c r="K8" s="90" t="s">
        <v>377</v>
      </c>
      <c r="L8" s="164" t="s">
        <v>196</v>
      </c>
      <c r="M8" s="140" t="s">
        <v>197</v>
      </c>
      <c r="N8" s="90" t="s">
        <v>198</v>
      </c>
      <c r="O8" s="92" t="s">
        <v>199</v>
      </c>
      <c r="P8" s="90"/>
      <c r="Q8" s="229" t="s">
        <v>323</v>
      </c>
      <c r="R8" s="228" t="s">
        <v>195</v>
      </c>
      <c r="S8" s="245" t="s">
        <v>196</v>
      </c>
      <c r="T8" s="292" t="s">
        <v>197</v>
      </c>
      <c r="V8" s="90"/>
      <c r="W8" s="90"/>
    </row>
    <row r="9" spans="1:24" s="93" customFormat="1" ht="15.75" customHeight="1">
      <c r="A9" s="144">
        <v>1</v>
      </c>
      <c r="B9" s="93" t="s">
        <v>163</v>
      </c>
      <c r="C9" s="267">
        <v>57422</v>
      </c>
      <c r="D9" s="206">
        <f>C9/$C$58</f>
        <v>3.9239751175887322E-2</v>
      </c>
      <c r="E9" s="255">
        <v>137463</v>
      </c>
      <c r="F9" s="206">
        <f>E9/$E$58</f>
        <v>3.5477243158856177E-2</v>
      </c>
      <c r="G9" s="207">
        <f>C9+E9</f>
        <v>194885</v>
      </c>
      <c r="H9" s="208">
        <f>G9/$G$58</f>
        <v>3.6508691198498928E-2</v>
      </c>
      <c r="I9" s="94">
        <f>ROUND(H9*$E$5,0)</f>
        <v>30909</v>
      </c>
      <c r="J9" s="241">
        <f t="shared" ref="J9:J19" si="0">IF(AND((I9-$J$2)&lt;800, (I9-$J$2)&lt;1000),I9-800,$J$2)</f>
        <v>1000</v>
      </c>
      <c r="K9" s="241"/>
      <c r="L9" s="209">
        <f>I9-J9-K9</f>
        <v>29909</v>
      </c>
      <c r="M9" s="210">
        <f>ROUND(H9*$F$5,0)</f>
        <v>7089</v>
      </c>
      <c r="N9" s="242">
        <f t="shared" ref="N9:N57" si="1">L9-S9</f>
        <v>4464</v>
      </c>
      <c r="O9" s="211">
        <f>(L9-S9)/S9</f>
        <v>0.17543721752800157</v>
      </c>
      <c r="P9" s="95"/>
      <c r="Q9" s="230">
        <v>25985</v>
      </c>
      <c r="R9" s="241">
        <v>540</v>
      </c>
      <c r="S9" s="242">
        <v>25445</v>
      </c>
      <c r="T9" s="293">
        <v>6443</v>
      </c>
      <c r="V9" s="212"/>
      <c r="W9" s="97"/>
      <c r="X9" s="98"/>
    </row>
    <row r="10" spans="1:24" s="93" customFormat="1" ht="12.75" customHeight="1">
      <c r="A10" s="144">
        <v>2</v>
      </c>
      <c r="B10" s="152" t="s">
        <v>164</v>
      </c>
      <c r="C10" s="267">
        <v>43337</v>
      </c>
      <c r="D10" s="206">
        <f t="shared" ref="D10:D57" si="2">C10/$C$58</f>
        <v>2.9614661570642419E-2</v>
      </c>
      <c r="E10" s="255">
        <v>93917</v>
      </c>
      <c r="F10" s="206">
        <f t="shared" ref="F10:F57" si="3">E10/$E$58</f>
        <v>2.4238640548731625E-2</v>
      </c>
      <c r="G10" s="207">
        <f t="shared" ref="G10:G57" si="4">C10+E10</f>
        <v>137254</v>
      </c>
      <c r="H10" s="208">
        <f t="shared" ref="H10:H57" si="5">G10/$G$58</f>
        <v>2.5712414509884145E-2</v>
      </c>
      <c r="I10" s="96">
        <f t="shared" ref="I10:I35" si="6">ROUND(H10*$E$5,0)</f>
        <v>21769</v>
      </c>
      <c r="J10" s="241">
        <f t="shared" si="0"/>
        <v>1000</v>
      </c>
      <c r="K10" s="241"/>
      <c r="L10" s="322">
        <f>I10-J10-K10</f>
        <v>20769</v>
      </c>
      <c r="M10" s="139">
        <f t="shared" ref="M10:M35" si="7">ROUND(H10*$F$5,0)</f>
        <v>4992</v>
      </c>
      <c r="N10" s="99">
        <f t="shared" si="1"/>
        <v>2237</v>
      </c>
      <c r="O10" s="213">
        <f>(L10-S10)/S10</f>
        <v>0.12071012303043384</v>
      </c>
      <c r="P10" s="95"/>
      <c r="Q10" s="231">
        <v>19072</v>
      </c>
      <c r="R10" s="241">
        <v>540</v>
      </c>
      <c r="S10" s="232">
        <v>18532</v>
      </c>
      <c r="T10" s="294">
        <v>4729</v>
      </c>
      <c r="V10" s="212"/>
      <c r="W10" s="97"/>
      <c r="X10" s="98"/>
    </row>
    <row r="11" spans="1:24" s="93" customFormat="1">
      <c r="A11" s="144">
        <v>3</v>
      </c>
      <c r="B11" s="152" t="s">
        <v>200</v>
      </c>
      <c r="C11" s="267">
        <v>15649</v>
      </c>
      <c r="D11" s="206">
        <f t="shared" si="2"/>
        <v>1.0693860648383211E-2</v>
      </c>
      <c r="E11" s="255">
        <v>25118</v>
      </c>
      <c r="F11" s="206">
        <f t="shared" si="3"/>
        <v>6.4825981803405238E-3</v>
      </c>
      <c r="G11" s="207">
        <f t="shared" si="4"/>
        <v>40767</v>
      </c>
      <c r="H11" s="208">
        <f t="shared" si="5"/>
        <v>7.6370670605187966E-3</v>
      </c>
      <c r="I11" s="96">
        <f t="shared" si="6"/>
        <v>6466</v>
      </c>
      <c r="J11" s="241">
        <f t="shared" si="0"/>
        <v>1000</v>
      </c>
      <c r="K11" s="241"/>
      <c r="L11" s="322">
        <f t="shared" ref="L11:L57" si="8">I11-J11-K11</f>
        <v>5466</v>
      </c>
      <c r="M11" s="139">
        <f t="shared" si="7"/>
        <v>1483</v>
      </c>
      <c r="N11" s="99">
        <f t="shared" si="1"/>
        <v>323</v>
      </c>
      <c r="O11" s="213">
        <f>(L11-S11)/S11</f>
        <v>6.2803811005249857E-2</v>
      </c>
      <c r="P11" s="95"/>
      <c r="Q11" s="231">
        <v>5683</v>
      </c>
      <c r="R11" s="241">
        <v>540</v>
      </c>
      <c r="S11" s="232">
        <v>5143</v>
      </c>
      <c r="T11" s="294">
        <v>1409</v>
      </c>
      <c r="V11" s="212"/>
      <c r="W11" s="97"/>
      <c r="X11" s="98"/>
    </row>
    <row r="12" spans="1:24" s="93" customFormat="1">
      <c r="A12" s="144">
        <v>4</v>
      </c>
      <c r="B12" s="152" t="s">
        <v>165</v>
      </c>
      <c r="C12" s="267">
        <v>31516</v>
      </c>
      <c r="D12" s="206">
        <f t="shared" si="2"/>
        <v>2.1536693219659099E-2</v>
      </c>
      <c r="E12" s="255">
        <v>59992</v>
      </c>
      <c r="F12" s="206">
        <f t="shared" si="3"/>
        <v>1.5483081058802002E-2</v>
      </c>
      <c r="G12" s="207">
        <f t="shared" si="4"/>
        <v>91508</v>
      </c>
      <c r="H12" s="208">
        <f t="shared" si="5"/>
        <v>1.7142608790785538E-2</v>
      </c>
      <c r="I12" s="96">
        <f t="shared" si="6"/>
        <v>14513</v>
      </c>
      <c r="J12" s="241">
        <f t="shared" si="0"/>
        <v>1000</v>
      </c>
      <c r="K12" s="241"/>
      <c r="L12" s="322">
        <f t="shared" si="8"/>
        <v>13513</v>
      </c>
      <c r="M12" s="139">
        <f t="shared" si="7"/>
        <v>3328</v>
      </c>
      <c r="N12" s="99">
        <f t="shared" si="1"/>
        <v>1695</v>
      </c>
      <c r="O12" s="213">
        <f>(L12-S12)/S12</f>
        <v>0.14342528346589947</v>
      </c>
      <c r="P12" s="95"/>
      <c r="Q12" s="231">
        <v>12358</v>
      </c>
      <c r="R12" s="241">
        <v>540</v>
      </c>
      <c r="S12" s="232">
        <v>11818</v>
      </c>
      <c r="T12" s="294">
        <v>3064</v>
      </c>
      <c r="V12" s="212"/>
      <c r="W12" s="97"/>
      <c r="X12" s="98"/>
    </row>
    <row r="13" spans="1:24" s="93" customFormat="1">
      <c r="A13" s="144">
        <v>5</v>
      </c>
      <c r="B13" s="93" t="s">
        <v>201</v>
      </c>
      <c r="C13" s="267">
        <v>15889</v>
      </c>
      <c r="D13" s="206">
        <f t="shared" si="2"/>
        <v>1.0857866435054051E-2</v>
      </c>
      <c r="E13" s="255">
        <v>20514</v>
      </c>
      <c r="F13" s="206">
        <f t="shared" si="3"/>
        <v>5.2943713301817621E-3</v>
      </c>
      <c r="G13" s="207">
        <f t="shared" si="4"/>
        <v>36403</v>
      </c>
      <c r="H13" s="208">
        <f t="shared" si="5"/>
        <v>6.8195391420527822E-3</v>
      </c>
      <c r="I13" s="96">
        <f t="shared" si="6"/>
        <v>5774</v>
      </c>
      <c r="J13" s="241">
        <f t="shared" si="0"/>
        <v>1000</v>
      </c>
      <c r="K13" s="241"/>
      <c r="L13" s="322">
        <f t="shared" si="8"/>
        <v>4774</v>
      </c>
      <c r="M13" s="139">
        <f t="shared" si="7"/>
        <v>1324</v>
      </c>
      <c r="N13" s="99">
        <f t="shared" si="1"/>
        <v>343</v>
      </c>
      <c r="O13" s="213">
        <f>(L13-S13)/S13</f>
        <v>7.7409162717219593E-2</v>
      </c>
      <c r="P13" s="95"/>
      <c r="Q13" s="231">
        <v>4971</v>
      </c>
      <c r="R13" s="241">
        <v>540</v>
      </c>
      <c r="S13" s="232">
        <v>4431</v>
      </c>
      <c r="T13" s="294">
        <v>1233</v>
      </c>
      <c r="V13" s="212"/>
      <c r="W13" s="97"/>
      <c r="X13" s="98"/>
    </row>
    <row r="14" spans="1:24" s="93" customFormat="1">
      <c r="A14" s="144">
        <v>6</v>
      </c>
      <c r="B14" s="152" t="s">
        <v>202</v>
      </c>
      <c r="C14" s="267">
        <v>33566</v>
      </c>
      <c r="D14" s="206">
        <f t="shared" si="2"/>
        <v>2.2937575980805855E-2</v>
      </c>
      <c r="E14" s="255">
        <v>67605</v>
      </c>
      <c r="F14" s="206">
        <f t="shared" si="3"/>
        <v>1.7447887968067566E-2</v>
      </c>
      <c r="G14" s="207">
        <f t="shared" si="4"/>
        <v>101171</v>
      </c>
      <c r="H14" s="208">
        <f t="shared" si="5"/>
        <v>1.8952822419597889E-2</v>
      </c>
      <c r="I14" s="96">
        <f t="shared" si="6"/>
        <v>16046</v>
      </c>
      <c r="J14" s="241">
        <f t="shared" si="0"/>
        <v>1000</v>
      </c>
      <c r="K14" s="241"/>
      <c r="L14" s="322">
        <f t="shared" si="8"/>
        <v>15046</v>
      </c>
      <c r="M14" s="139">
        <f t="shared" si="7"/>
        <v>3680</v>
      </c>
      <c r="N14" s="99">
        <f t="shared" si="1"/>
        <v>2016</v>
      </c>
      <c r="O14" s="213">
        <f t="shared" ref="O14:O25" si="9">(L14-S14)/S14</f>
        <v>0.15471987720644667</v>
      </c>
      <c r="P14" s="95"/>
      <c r="Q14" s="231">
        <v>13570</v>
      </c>
      <c r="R14" s="241">
        <v>540</v>
      </c>
      <c r="S14" s="232">
        <v>13030</v>
      </c>
      <c r="T14" s="294">
        <v>3365</v>
      </c>
      <c r="V14" s="212"/>
      <c r="W14" s="97"/>
      <c r="X14" s="98"/>
    </row>
    <row r="15" spans="1:24" s="93" customFormat="1">
      <c r="A15" s="144">
        <v>7</v>
      </c>
      <c r="B15" s="152" t="s">
        <v>203</v>
      </c>
      <c r="C15" s="267">
        <v>25739</v>
      </c>
      <c r="D15" s="206">
        <f t="shared" si="2"/>
        <v>1.7588937263003097E-2</v>
      </c>
      <c r="E15" s="255">
        <v>68378</v>
      </c>
      <c r="F15" s="206">
        <f t="shared" si="3"/>
        <v>1.7647388262414378E-2</v>
      </c>
      <c r="G15" s="207">
        <f t="shared" si="4"/>
        <v>94117</v>
      </c>
      <c r="H15" s="208">
        <f t="shared" si="5"/>
        <v>1.7631364597219507E-2</v>
      </c>
      <c r="I15" s="96">
        <f t="shared" si="6"/>
        <v>14927</v>
      </c>
      <c r="J15" s="241">
        <f t="shared" si="0"/>
        <v>1000</v>
      </c>
      <c r="K15" s="241"/>
      <c r="L15" s="322">
        <f t="shared" si="8"/>
        <v>13927</v>
      </c>
      <c r="M15" s="139">
        <f t="shared" si="7"/>
        <v>3423</v>
      </c>
      <c r="N15" s="99">
        <f t="shared" si="1"/>
        <v>1997</v>
      </c>
      <c r="O15" s="213">
        <f t="shared" si="9"/>
        <v>0.16739312657166808</v>
      </c>
      <c r="P15" s="95"/>
      <c r="Q15" s="231">
        <v>12470</v>
      </c>
      <c r="R15" s="241">
        <v>540</v>
      </c>
      <c r="S15" s="232">
        <v>11930</v>
      </c>
      <c r="T15" s="294">
        <v>3092</v>
      </c>
      <c r="V15" s="212"/>
      <c r="W15" s="97"/>
      <c r="X15" s="98"/>
    </row>
    <row r="16" spans="1:24" s="93" customFormat="1">
      <c r="A16" s="144">
        <v>8</v>
      </c>
      <c r="B16" s="93" t="s">
        <v>204</v>
      </c>
      <c r="C16" s="267">
        <v>12820</v>
      </c>
      <c r="D16" s="206">
        <f t="shared" si="2"/>
        <v>8.7606424380006868E-3</v>
      </c>
      <c r="E16" s="255">
        <v>26944</v>
      </c>
      <c r="F16" s="206">
        <f t="shared" si="3"/>
        <v>6.9538627825103541E-3</v>
      </c>
      <c r="G16" s="207">
        <f t="shared" si="4"/>
        <v>39764</v>
      </c>
      <c r="H16" s="208">
        <f t="shared" si="5"/>
        <v>7.4491705201380877E-3</v>
      </c>
      <c r="I16" s="96">
        <f t="shared" si="6"/>
        <v>6307</v>
      </c>
      <c r="J16" s="241">
        <f t="shared" si="0"/>
        <v>1000</v>
      </c>
      <c r="K16" s="241"/>
      <c r="L16" s="322">
        <f t="shared" si="8"/>
        <v>5307</v>
      </c>
      <c r="M16" s="139">
        <f t="shared" si="7"/>
        <v>1446</v>
      </c>
      <c r="N16" s="99">
        <f t="shared" si="1"/>
        <v>295</v>
      </c>
      <c r="O16" s="213">
        <f t="shared" si="9"/>
        <v>5.8858739026336794E-2</v>
      </c>
      <c r="P16" s="95"/>
      <c r="Q16" s="231">
        <v>5552</v>
      </c>
      <c r="R16" s="241">
        <v>540</v>
      </c>
      <c r="S16" s="232">
        <v>5012</v>
      </c>
      <c r="T16" s="294">
        <v>1377</v>
      </c>
      <c r="V16" s="212"/>
      <c r="W16" s="97"/>
      <c r="X16" s="98"/>
    </row>
    <row r="17" spans="1:24" s="93" customFormat="1">
      <c r="A17" s="144">
        <v>9</v>
      </c>
      <c r="B17" s="152" t="s">
        <v>205</v>
      </c>
      <c r="C17" s="267">
        <v>18687</v>
      </c>
      <c r="D17" s="206">
        <f t="shared" si="2"/>
        <v>1.2769900564658257E-2</v>
      </c>
      <c r="E17" s="255">
        <v>13259</v>
      </c>
      <c r="F17" s="206">
        <f t="shared" si="3"/>
        <v>3.4219591238607771E-3</v>
      </c>
      <c r="G17" s="207">
        <f t="shared" si="4"/>
        <v>31946</v>
      </c>
      <c r="H17" s="208">
        <f t="shared" si="5"/>
        <v>5.9845891116671202E-3</v>
      </c>
      <c r="I17" s="96">
        <f t="shared" si="6"/>
        <v>5067</v>
      </c>
      <c r="J17" s="241">
        <f t="shared" si="0"/>
        <v>1000</v>
      </c>
      <c r="K17" s="241"/>
      <c r="L17" s="322">
        <f t="shared" si="8"/>
        <v>4067</v>
      </c>
      <c r="M17" s="139">
        <f t="shared" si="7"/>
        <v>1162</v>
      </c>
      <c r="N17" s="99">
        <f t="shared" si="1"/>
        <v>128</v>
      </c>
      <c r="O17" s="213">
        <f t="shared" si="9"/>
        <v>3.2495557248032499E-2</v>
      </c>
      <c r="P17" s="95"/>
      <c r="Q17" s="231">
        <v>4479</v>
      </c>
      <c r="R17" s="241">
        <v>540</v>
      </c>
      <c r="S17" s="232">
        <v>3939</v>
      </c>
      <c r="T17" s="294">
        <v>1111</v>
      </c>
      <c r="V17" s="212"/>
      <c r="W17" s="97"/>
      <c r="X17" s="98"/>
    </row>
    <row r="18" spans="1:24" s="93" customFormat="1">
      <c r="A18" s="144">
        <v>10</v>
      </c>
      <c r="B18" s="152" t="s">
        <v>206</v>
      </c>
      <c r="C18" s="267">
        <v>16068</v>
      </c>
      <c r="D18" s="206">
        <f t="shared" si="2"/>
        <v>1.0980187417612718E-2</v>
      </c>
      <c r="E18" s="255">
        <v>27991</v>
      </c>
      <c r="F18" s="206">
        <f t="shared" si="3"/>
        <v>7.2240785757588816E-3</v>
      </c>
      <c r="G18" s="207">
        <f t="shared" si="4"/>
        <v>44059</v>
      </c>
      <c r="H18" s="208">
        <f t="shared" si="5"/>
        <v>8.2537723555669452E-3</v>
      </c>
      <c r="I18" s="96">
        <f t="shared" si="6"/>
        <v>6988</v>
      </c>
      <c r="J18" s="241">
        <f t="shared" si="0"/>
        <v>1000</v>
      </c>
      <c r="K18" s="241"/>
      <c r="L18" s="322">
        <f t="shared" si="8"/>
        <v>5988</v>
      </c>
      <c r="M18" s="139">
        <f t="shared" si="7"/>
        <v>1603</v>
      </c>
      <c r="N18" s="99">
        <f t="shared" si="1"/>
        <v>160</v>
      </c>
      <c r="O18" s="213">
        <f t="shared" si="9"/>
        <v>2.7453671928620454E-2</v>
      </c>
      <c r="P18" s="95"/>
      <c r="Q18" s="231">
        <v>6368</v>
      </c>
      <c r="R18" s="241">
        <v>540</v>
      </c>
      <c r="S18" s="232">
        <v>5828</v>
      </c>
      <c r="T18" s="294">
        <v>1579</v>
      </c>
      <c r="V18" s="212"/>
      <c r="W18" s="97"/>
      <c r="X18" s="98"/>
    </row>
    <row r="19" spans="1:24" s="93" customFormat="1" ht="12.75" customHeight="1">
      <c r="A19" s="144">
        <v>11</v>
      </c>
      <c r="B19" s="152" t="s">
        <v>207</v>
      </c>
      <c r="C19" s="267">
        <v>10120</v>
      </c>
      <c r="D19" s="206">
        <f t="shared" si="2"/>
        <v>6.9155773379537405E-3</v>
      </c>
      <c r="E19" s="255">
        <v>25921</v>
      </c>
      <c r="F19" s="206">
        <f t="shared" si="3"/>
        <v>6.6898410475597862E-3</v>
      </c>
      <c r="G19" s="207">
        <f t="shared" si="4"/>
        <v>36041</v>
      </c>
      <c r="H19" s="208">
        <f t="shared" si="5"/>
        <v>6.7517240397418979E-3</v>
      </c>
      <c r="I19" s="96">
        <f t="shared" si="6"/>
        <v>5716</v>
      </c>
      <c r="J19" s="241">
        <f t="shared" si="0"/>
        <v>1000</v>
      </c>
      <c r="K19" s="241"/>
      <c r="L19" s="322">
        <f t="shared" si="8"/>
        <v>4716</v>
      </c>
      <c r="M19" s="139">
        <f t="shared" si="7"/>
        <v>1311</v>
      </c>
      <c r="N19" s="99">
        <f t="shared" si="1"/>
        <v>621</v>
      </c>
      <c r="O19" s="213">
        <f t="shared" si="9"/>
        <v>0.15164835164835164</v>
      </c>
      <c r="P19" s="95"/>
      <c r="Q19" s="231">
        <v>4635</v>
      </c>
      <c r="R19" s="241">
        <v>540</v>
      </c>
      <c r="S19" s="232">
        <v>4095</v>
      </c>
      <c r="T19" s="294">
        <v>1149</v>
      </c>
      <c r="V19" s="212"/>
      <c r="W19" s="97"/>
      <c r="X19" s="98"/>
    </row>
    <row r="20" spans="1:24" s="93" customFormat="1" ht="12" customHeight="1">
      <c r="A20" s="144">
        <v>12</v>
      </c>
      <c r="B20" s="93" t="s">
        <v>208</v>
      </c>
      <c r="C20" s="267">
        <v>12100</v>
      </c>
      <c r="D20" s="206">
        <f t="shared" si="2"/>
        <v>8.2686250779881679E-3</v>
      </c>
      <c r="E20" s="255">
        <v>10289</v>
      </c>
      <c r="F20" s="206">
        <f t="shared" si="3"/>
        <v>2.6554444094881616E-3</v>
      </c>
      <c r="G20" s="207">
        <f t="shared" si="4"/>
        <v>22389</v>
      </c>
      <c r="H20" s="208">
        <f t="shared" si="5"/>
        <v>4.1942329437524304E-3</v>
      </c>
      <c r="I20" s="96">
        <f t="shared" si="6"/>
        <v>3551</v>
      </c>
      <c r="J20" s="241">
        <f>IF(AND((I20-$J$2)&lt;800, (I20-$J$2)&lt;1000),I20-800,$J$2)</f>
        <v>1000</v>
      </c>
      <c r="K20" s="241"/>
      <c r="L20" s="322">
        <f t="shared" si="8"/>
        <v>2551</v>
      </c>
      <c r="M20" s="139">
        <f t="shared" si="7"/>
        <v>814</v>
      </c>
      <c r="N20" s="99">
        <f t="shared" si="1"/>
        <v>377</v>
      </c>
      <c r="O20" s="213">
        <f t="shared" si="9"/>
        <v>0.17341306347746091</v>
      </c>
      <c r="P20" s="95"/>
      <c r="Q20" s="231">
        <v>2714</v>
      </c>
      <c r="R20" s="241">
        <v>540</v>
      </c>
      <c r="S20" s="232">
        <v>2174</v>
      </c>
      <c r="T20" s="294">
        <v>673</v>
      </c>
      <c r="V20" s="212"/>
      <c r="W20" s="97"/>
      <c r="X20" s="98"/>
    </row>
    <row r="21" spans="1:24" s="93" customFormat="1">
      <c r="A21" s="144">
        <v>13</v>
      </c>
      <c r="B21" s="152" t="s">
        <v>209</v>
      </c>
      <c r="C21" s="267">
        <v>16836</v>
      </c>
      <c r="D21" s="206">
        <f t="shared" si="2"/>
        <v>1.1505005934959405E-2</v>
      </c>
      <c r="E21" s="255">
        <v>35268</v>
      </c>
      <c r="F21" s="206">
        <f t="shared" si="3"/>
        <v>9.1021686688529981E-3</v>
      </c>
      <c r="G21" s="207">
        <f t="shared" si="4"/>
        <v>52104</v>
      </c>
      <c r="H21" s="208">
        <f t="shared" si="5"/>
        <v>9.7608787038847931E-3</v>
      </c>
      <c r="I21" s="96">
        <f t="shared" si="6"/>
        <v>8264</v>
      </c>
      <c r="J21" s="241">
        <f t="shared" ref="J21:J57" si="10">IF(AND((I21-$J$2)&lt;800, (I21-$J$2)&lt;1000),I21-800,$J$2)</f>
        <v>1000</v>
      </c>
      <c r="K21" s="241"/>
      <c r="L21" s="322">
        <f t="shared" si="8"/>
        <v>7264</v>
      </c>
      <c r="M21" s="139">
        <f t="shared" si="7"/>
        <v>1895</v>
      </c>
      <c r="N21" s="99">
        <f t="shared" si="1"/>
        <v>202</v>
      </c>
      <c r="O21" s="213">
        <f t="shared" si="9"/>
        <v>2.8603794958935145E-2</v>
      </c>
      <c r="P21" s="95"/>
      <c r="Q21" s="231">
        <v>7602</v>
      </c>
      <c r="R21" s="241">
        <v>540</v>
      </c>
      <c r="S21" s="232">
        <v>7062</v>
      </c>
      <c r="T21" s="294">
        <v>1885</v>
      </c>
      <c r="V21" s="212"/>
      <c r="W21" s="97"/>
      <c r="X21" s="98"/>
    </row>
    <row r="22" spans="1:24" s="93" customFormat="1">
      <c r="A22" s="144">
        <v>14</v>
      </c>
      <c r="B22" s="93" t="s">
        <v>210</v>
      </c>
      <c r="C22" s="267">
        <v>105145</v>
      </c>
      <c r="D22" s="206">
        <f t="shared" si="2"/>
        <v>7.1851618497939335E-2</v>
      </c>
      <c r="E22" s="255">
        <v>239761</v>
      </c>
      <c r="F22" s="206">
        <f t="shared" si="3"/>
        <v>6.1878900482388095E-2</v>
      </c>
      <c r="G22" s="207">
        <f t="shared" si="4"/>
        <v>344906</v>
      </c>
      <c r="H22" s="208">
        <f t="shared" si="5"/>
        <v>6.4612805739330731E-2</v>
      </c>
      <c r="I22" s="96">
        <f t="shared" si="6"/>
        <v>54703</v>
      </c>
      <c r="J22" s="241">
        <f t="shared" si="10"/>
        <v>1000</v>
      </c>
      <c r="K22" s="317">
        <f>H66*J3</f>
        <v>4063.4159904242183</v>
      </c>
      <c r="L22" s="322">
        <f t="shared" si="8"/>
        <v>49639.584009575781</v>
      </c>
      <c r="M22" s="139">
        <f t="shared" si="7"/>
        <v>12546</v>
      </c>
      <c r="N22" s="99">
        <f t="shared" si="1"/>
        <v>222.58400957578124</v>
      </c>
      <c r="O22" s="213">
        <f t="shared" si="9"/>
        <v>4.504199153647151E-3</v>
      </c>
      <c r="P22" s="95"/>
      <c r="Q22" s="231">
        <v>49957</v>
      </c>
      <c r="R22" s="241">
        <v>540</v>
      </c>
      <c r="S22" s="232">
        <v>49417</v>
      </c>
      <c r="T22" s="294">
        <v>12387</v>
      </c>
      <c r="V22" s="212"/>
      <c r="W22" s="97"/>
      <c r="X22" s="98"/>
    </row>
    <row r="23" spans="1:24" s="93" customFormat="1">
      <c r="A23" s="144">
        <v>15</v>
      </c>
      <c r="B23" s="93" t="s">
        <v>211</v>
      </c>
      <c r="C23" s="267">
        <v>20081</v>
      </c>
      <c r="D23" s="206">
        <f t="shared" si="2"/>
        <v>1.372250084223805E-2</v>
      </c>
      <c r="E23" s="255">
        <v>28660</v>
      </c>
      <c r="F23" s="206">
        <f t="shared" si="3"/>
        <v>7.3967379508145317E-3</v>
      </c>
      <c r="G23" s="207">
        <f t="shared" si="4"/>
        <v>48741</v>
      </c>
      <c r="H23" s="208">
        <f t="shared" si="5"/>
        <v>9.1308726567259461E-3</v>
      </c>
      <c r="I23" s="96">
        <f t="shared" si="6"/>
        <v>7730</v>
      </c>
      <c r="J23" s="241">
        <f t="shared" si="10"/>
        <v>1000</v>
      </c>
      <c r="K23" s="241"/>
      <c r="L23" s="322">
        <f t="shared" si="8"/>
        <v>6730</v>
      </c>
      <c r="M23" s="139">
        <f t="shared" si="7"/>
        <v>1773</v>
      </c>
      <c r="N23" s="99">
        <f t="shared" si="1"/>
        <v>424</v>
      </c>
      <c r="O23" s="213">
        <f t="shared" si="9"/>
        <v>6.7237551538217574E-2</v>
      </c>
      <c r="P23" s="95"/>
      <c r="Q23" s="231">
        <v>6846</v>
      </c>
      <c r="R23" s="241">
        <v>540</v>
      </c>
      <c r="S23" s="232">
        <v>6306</v>
      </c>
      <c r="T23" s="294">
        <v>1697</v>
      </c>
      <c r="V23" s="212"/>
      <c r="W23" s="97"/>
      <c r="X23" s="98"/>
    </row>
    <row r="24" spans="1:24" s="93" customFormat="1">
      <c r="A24" s="144">
        <v>16</v>
      </c>
      <c r="B24" s="93" t="s">
        <v>212</v>
      </c>
      <c r="C24" s="267">
        <v>11313</v>
      </c>
      <c r="D24" s="206">
        <f t="shared" si="2"/>
        <v>7.7308227691967064E-3</v>
      </c>
      <c r="E24" s="255">
        <v>32028</v>
      </c>
      <c r="F24" s="206">
        <f t="shared" si="3"/>
        <v>8.2659707986283259E-3</v>
      </c>
      <c r="G24" s="207">
        <f t="shared" si="4"/>
        <v>43341</v>
      </c>
      <c r="H24" s="208">
        <f t="shared" si="5"/>
        <v>8.1192661581657999E-3</v>
      </c>
      <c r="I24" s="96">
        <f t="shared" si="6"/>
        <v>6874</v>
      </c>
      <c r="J24" s="241">
        <f t="shared" si="10"/>
        <v>1000</v>
      </c>
      <c r="K24" s="241"/>
      <c r="L24" s="322">
        <f t="shared" si="8"/>
        <v>5874</v>
      </c>
      <c r="M24" s="139">
        <f t="shared" si="7"/>
        <v>1576</v>
      </c>
      <c r="N24" s="99">
        <f t="shared" si="1"/>
        <v>1058</v>
      </c>
      <c r="O24" s="213">
        <f t="shared" si="9"/>
        <v>0.21968438538205981</v>
      </c>
      <c r="P24" s="95"/>
      <c r="Q24" s="231">
        <v>5356</v>
      </c>
      <c r="R24" s="241">
        <v>540</v>
      </c>
      <c r="S24" s="232">
        <v>4816</v>
      </c>
      <c r="T24" s="294">
        <v>1328</v>
      </c>
      <c r="V24" s="212"/>
      <c r="W24" s="97"/>
      <c r="X24" s="98"/>
    </row>
    <row r="25" spans="1:24" s="93" customFormat="1">
      <c r="A25" s="144">
        <v>17</v>
      </c>
      <c r="B25" s="152" t="s">
        <v>213</v>
      </c>
      <c r="C25" s="267">
        <v>32411</v>
      </c>
      <c r="D25" s="206">
        <f t="shared" si="2"/>
        <v>2.2148298132452442E-2</v>
      </c>
      <c r="E25" s="255">
        <v>64536</v>
      </c>
      <c r="F25" s="206">
        <f t="shared" si="3"/>
        <v>1.6655822763215863E-2</v>
      </c>
      <c r="G25" s="207">
        <f t="shared" si="4"/>
        <v>96947</v>
      </c>
      <c r="H25" s="208">
        <f t="shared" si="5"/>
        <v>1.816152133627973E-2</v>
      </c>
      <c r="I25" s="96">
        <f t="shared" si="6"/>
        <v>15376</v>
      </c>
      <c r="J25" s="241">
        <f t="shared" si="10"/>
        <v>1000</v>
      </c>
      <c r="K25" s="241"/>
      <c r="L25" s="322">
        <f t="shared" si="8"/>
        <v>14376</v>
      </c>
      <c r="M25" s="139">
        <f t="shared" si="7"/>
        <v>3526</v>
      </c>
      <c r="N25" s="99">
        <f t="shared" si="1"/>
        <v>2206</v>
      </c>
      <c r="O25" s="213">
        <f t="shared" si="9"/>
        <v>0.18126540673788002</v>
      </c>
      <c r="P25" s="95"/>
      <c r="Q25" s="231">
        <v>12710</v>
      </c>
      <c r="R25" s="241">
        <v>540</v>
      </c>
      <c r="S25" s="232">
        <v>12170</v>
      </c>
      <c r="T25" s="294">
        <v>3152</v>
      </c>
      <c r="V25" s="212"/>
      <c r="W25" s="97"/>
      <c r="X25" s="98"/>
    </row>
    <row r="26" spans="1:24" s="93" customFormat="1">
      <c r="A26" s="144">
        <v>18</v>
      </c>
      <c r="B26" s="93" t="s">
        <v>214</v>
      </c>
      <c r="C26" s="267">
        <v>10290</v>
      </c>
      <c r="D26" s="206">
        <f t="shared" si="2"/>
        <v>7.0317481035122526E-3</v>
      </c>
      <c r="E26" s="255">
        <v>9677</v>
      </c>
      <c r="F26" s="206">
        <f t="shared" si="3"/>
        <v>2.4974959228901681E-3</v>
      </c>
      <c r="G26" s="207">
        <f t="shared" si="4"/>
        <v>19967</v>
      </c>
      <c r="H26" s="208">
        <f t="shared" si="5"/>
        <v>3.7405086956945276E-3</v>
      </c>
      <c r="I26" s="96">
        <f t="shared" si="6"/>
        <v>3167</v>
      </c>
      <c r="J26" s="241">
        <f t="shared" si="10"/>
        <v>1000</v>
      </c>
      <c r="K26" s="241"/>
      <c r="L26" s="322">
        <f t="shared" si="8"/>
        <v>2167</v>
      </c>
      <c r="M26" s="139">
        <f t="shared" si="7"/>
        <v>726</v>
      </c>
      <c r="N26" s="99">
        <f t="shared" si="1"/>
        <v>-336</v>
      </c>
      <c r="O26" s="213">
        <f t="shared" ref="O26:O36" si="11">(L26-S26)/S26</f>
        <v>-0.13423891330403515</v>
      </c>
      <c r="P26" s="95"/>
      <c r="Q26" s="231">
        <v>3043</v>
      </c>
      <c r="R26" s="241">
        <v>540</v>
      </c>
      <c r="S26" s="232">
        <v>2503</v>
      </c>
      <c r="T26" s="294">
        <v>755</v>
      </c>
      <c r="V26" s="212"/>
      <c r="W26" s="97"/>
      <c r="X26" s="98"/>
    </row>
    <row r="27" spans="1:24" s="93" customFormat="1">
      <c r="A27" s="144">
        <v>19</v>
      </c>
      <c r="B27" s="93" t="s">
        <v>215</v>
      </c>
      <c r="C27" s="267">
        <v>13093</v>
      </c>
      <c r="D27" s="206">
        <f t="shared" si="2"/>
        <v>8.9471990203387683E-3</v>
      </c>
      <c r="E27" s="255">
        <v>15055</v>
      </c>
      <c r="F27" s="206">
        <f t="shared" si="3"/>
        <v>3.8854811531581568E-3</v>
      </c>
      <c r="G27" s="207">
        <f t="shared" si="4"/>
        <v>28148</v>
      </c>
      <c r="H27" s="208">
        <f t="shared" si="5"/>
        <v>5.2730925410131501E-3</v>
      </c>
      <c r="I27" s="96">
        <f t="shared" si="6"/>
        <v>4464</v>
      </c>
      <c r="J27" s="241">
        <f t="shared" si="10"/>
        <v>1000</v>
      </c>
      <c r="K27" s="241"/>
      <c r="L27" s="322">
        <f t="shared" si="8"/>
        <v>3464</v>
      </c>
      <c r="M27" s="139">
        <f t="shared" si="7"/>
        <v>1024</v>
      </c>
      <c r="N27" s="99">
        <f t="shared" si="1"/>
        <v>142</v>
      </c>
      <c r="O27" s="213">
        <f t="shared" si="11"/>
        <v>4.2745334136062615E-2</v>
      </c>
      <c r="P27" s="95"/>
      <c r="Q27" s="231">
        <v>3862</v>
      </c>
      <c r="R27" s="241">
        <v>540</v>
      </c>
      <c r="S27" s="232">
        <v>3322</v>
      </c>
      <c r="T27" s="294">
        <v>958</v>
      </c>
      <c r="V27" s="212"/>
      <c r="W27" s="97"/>
      <c r="X27" s="98"/>
    </row>
    <row r="28" spans="1:24" s="93" customFormat="1" ht="12" customHeight="1">
      <c r="A28" s="144">
        <v>20</v>
      </c>
      <c r="B28" s="93" t="s">
        <v>168</v>
      </c>
      <c r="C28" s="267">
        <v>183021</v>
      </c>
      <c r="D28" s="206">
        <f t="shared" si="2"/>
        <v>0.12506876284284899</v>
      </c>
      <c r="E28" s="255">
        <v>802013</v>
      </c>
      <c r="F28" s="206">
        <f t="shared" si="3"/>
        <v>0.20698813657175907</v>
      </c>
      <c r="G28" s="207">
        <f t="shared" si="4"/>
        <v>985034</v>
      </c>
      <c r="H28" s="208">
        <f t="shared" si="5"/>
        <v>0.18453088809309179</v>
      </c>
      <c r="I28" s="96">
        <f t="shared" si="6"/>
        <v>156230</v>
      </c>
      <c r="J28" s="241">
        <f t="shared" si="10"/>
        <v>1000</v>
      </c>
      <c r="K28" s="317">
        <f>H65*J3</f>
        <v>11604.909473049265</v>
      </c>
      <c r="L28" s="322">
        <f t="shared" si="8"/>
        <v>143625.09052695072</v>
      </c>
      <c r="M28" s="139">
        <f t="shared" si="7"/>
        <v>35829</v>
      </c>
      <c r="N28" s="99">
        <f t="shared" si="1"/>
        <v>1475.0905269507202</v>
      </c>
      <c r="O28" s="213">
        <f t="shared" si="11"/>
        <v>1.037699983785241E-2</v>
      </c>
      <c r="P28" s="95"/>
      <c r="Q28" s="231">
        <v>142690</v>
      </c>
      <c r="R28" s="241">
        <v>540</v>
      </c>
      <c r="S28" s="232">
        <v>142150</v>
      </c>
      <c r="T28" s="294">
        <v>35380</v>
      </c>
      <c r="V28" s="212"/>
      <c r="W28" s="97"/>
      <c r="X28" s="98"/>
    </row>
    <row r="29" spans="1:24" s="93" customFormat="1">
      <c r="A29" s="144">
        <v>21</v>
      </c>
      <c r="B29" s="93" t="s">
        <v>216</v>
      </c>
      <c r="C29" s="267">
        <v>24625</v>
      </c>
      <c r="D29" s="206">
        <f t="shared" si="2"/>
        <v>1.6827677069872614E-2</v>
      </c>
      <c r="E29" s="255">
        <v>65297</v>
      </c>
      <c r="F29" s="206">
        <f t="shared" si="3"/>
        <v>1.6852226028413693E-2</v>
      </c>
      <c r="G29" s="207">
        <f t="shared" si="4"/>
        <v>89922</v>
      </c>
      <c r="H29" s="208">
        <f t="shared" si="5"/>
        <v>1.6845496215467687E-2</v>
      </c>
      <c r="I29" s="96">
        <f t="shared" si="6"/>
        <v>14262</v>
      </c>
      <c r="J29" s="241">
        <f t="shared" si="10"/>
        <v>1000</v>
      </c>
      <c r="K29" s="241"/>
      <c r="L29" s="322">
        <f t="shared" si="8"/>
        <v>13262</v>
      </c>
      <c r="M29" s="139">
        <f t="shared" si="7"/>
        <v>3271</v>
      </c>
      <c r="N29" s="99">
        <f t="shared" si="1"/>
        <v>351</v>
      </c>
      <c r="O29" s="213">
        <f t="shared" si="11"/>
        <v>2.7186120362481605E-2</v>
      </c>
      <c r="P29" s="95"/>
      <c r="Q29" s="231">
        <v>13451</v>
      </c>
      <c r="R29" s="241">
        <v>540</v>
      </c>
      <c r="S29" s="232">
        <v>12911</v>
      </c>
      <c r="T29" s="294">
        <v>3335</v>
      </c>
      <c r="V29" s="212"/>
      <c r="W29" s="97"/>
      <c r="X29" s="98"/>
    </row>
    <row r="30" spans="1:24" s="93" customFormat="1">
      <c r="A30" s="144">
        <v>22</v>
      </c>
      <c r="B30" s="93" t="s">
        <v>217</v>
      </c>
      <c r="C30" s="267">
        <v>7044</v>
      </c>
      <c r="D30" s="206">
        <f t="shared" si="2"/>
        <v>4.8135698387891451E-3</v>
      </c>
      <c r="E30" s="255">
        <v>14391</v>
      </c>
      <c r="F30" s="206">
        <f t="shared" si="3"/>
        <v>3.7141122069145821E-3</v>
      </c>
      <c r="G30" s="207">
        <f t="shared" si="4"/>
        <v>21435</v>
      </c>
      <c r="H30" s="208">
        <f t="shared" si="5"/>
        <v>4.0155157956734714E-3</v>
      </c>
      <c r="I30" s="96">
        <f t="shared" si="6"/>
        <v>3400</v>
      </c>
      <c r="J30" s="241">
        <f t="shared" si="10"/>
        <v>1000</v>
      </c>
      <c r="K30" s="241"/>
      <c r="L30" s="322">
        <f t="shared" si="8"/>
        <v>2400</v>
      </c>
      <c r="M30" s="139">
        <f t="shared" si="7"/>
        <v>780</v>
      </c>
      <c r="N30" s="99">
        <f t="shared" si="1"/>
        <v>-246</v>
      </c>
      <c r="O30" s="213">
        <f t="shared" si="11"/>
        <v>-9.297052154195011E-2</v>
      </c>
      <c r="P30" s="95"/>
      <c r="Q30" s="231">
        <v>3186</v>
      </c>
      <c r="R30" s="241">
        <v>540</v>
      </c>
      <c r="S30" s="232">
        <v>2646</v>
      </c>
      <c r="T30" s="294">
        <v>790</v>
      </c>
      <c r="V30" s="212"/>
      <c r="W30" s="97"/>
      <c r="X30" s="98"/>
    </row>
    <row r="31" spans="1:24" s="93" customFormat="1">
      <c r="A31" s="144">
        <v>23</v>
      </c>
      <c r="B31" s="93" t="s">
        <v>218</v>
      </c>
      <c r="C31" s="267">
        <v>15938</v>
      </c>
      <c r="D31" s="206">
        <f t="shared" si="2"/>
        <v>1.0891350949832681E-2</v>
      </c>
      <c r="E31" s="255">
        <v>29521</v>
      </c>
      <c r="F31" s="206">
        <f t="shared" si="3"/>
        <v>7.6189497922538657E-3</v>
      </c>
      <c r="G31" s="207">
        <f t="shared" si="4"/>
        <v>45459</v>
      </c>
      <c r="H31" s="208">
        <f t="shared" si="5"/>
        <v>8.5160407070455028E-3</v>
      </c>
      <c r="I31" s="96">
        <f t="shared" si="6"/>
        <v>7210</v>
      </c>
      <c r="J31" s="241">
        <f t="shared" si="10"/>
        <v>1000</v>
      </c>
      <c r="K31" s="241"/>
      <c r="L31" s="322">
        <f t="shared" si="8"/>
        <v>6210</v>
      </c>
      <c r="M31" s="139">
        <f t="shared" si="7"/>
        <v>1654</v>
      </c>
      <c r="N31" s="99">
        <f t="shared" si="1"/>
        <v>763</v>
      </c>
      <c r="O31" s="213">
        <f t="shared" si="11"/>
        <v>0.14007710666421883</v>
      </c>
      <c r="P31" s="95"/>
      <c r="Q31" s="231">
        <v>5987</v>
      </c>
      <c r="R31" s="241">
        <v>540</v>
      </c>
      <c r="S31" s="232">
        <v>5447</v>
      </c>
      <c r="T31" s="294">
        <v>1484</v>
      </c>
      <c r="V31" s="212"/>
      <c r="W31" s="97"/>
      <c r="X31" s="98"/>
    </row>
    <row r="32" spans="1:24" s="93" customFormat="1">
      <c r="A32" s="144">
        <v>24</v>
      </c>
      <c r="B32" s="93" t="s">
        <v>219</v>
      </c>
      <c r="C32" s="267">
        <v>19495</v>
      </c>
      <c r="D32" s="206">
        <f t="shared" si="2"/>
        <v>1.3322053379783417E-2</v>
      </c>
      <c r="E32" s="255">
        <v>39115</v>
      </c>
      <c r="F32" s="206">
        <f t="shared" si="3"/>
        <v>1.0095024596863587E-2</v>
      </c>
      <c r="G32" s="207">
        <f t="shared" si="4"/>
        <v>58610</v>
      </c>
      <c r="H32" s="208">
        <f t="shared" si="5"/>
        <v>1.0979677200113001E-2</v>
      </c>
      <c r="I32" s="96">
        <f t="shared" si="6"/>
        <v>9296</v>
      </c>
      <c r="J32" s="241">
        <f t="shared" si="10"/>
        <v>1000</v>
      </c>
      <c r="K32" s="241"/>
      <c r="L32" s="322">
        <f t="shared" si="8"/>
        <v>8296</v>
      </c>
      <c r="M32" s="139">
        <f t="shared" si="7"/>
        <v>2132</v>
      </c>
      <c r="N32" s="99">
        <f t="shared" si="1"/>
        <v>292</v>
      </c>
      <c r="O32" s="213">
        <f t="shared" si="11"/>
        <v>3.6481759120439779E-2</v>
      </c>
      <c r="P32" s="95"/>
      <c r="Q32" s="231">
        <v>8544</v>
      </c>
      <c r="R32" s="241">
        <v>540</v>
      </c>
      <c r="S32" s="232">
        <v>8004</v>
      </c>
      <c r="T32" s="294">
        <v>2118</v>
      </c>
      <c r="V32" s="212"/>
      <c r="W32" s="97"/>
      <c r="X32" s="98"/>
    </row>
    <row r="33" spans="1:24" s="93" customFormat="1">
      <c r="A33" s="144">
        <v>25</v>
      </c>
      <c r="B33" s="93" t="s">
        <v>171</v>
      </c>
      <c r="C33" s="267">
        <v>7828</v>
      </c>
      <c r="D33" s="206">
        <f t="shared" si="2"/>
        <v>5.3493220752472218E-3</v>
      </c>
      <c r="E33" s="255">
        <v>20455</v>
      </c>
      <c r="F33" s="206">
        <f t="shared" si="3"/>
        <v>5.2791442701992757E-3</v>
      </c>
      <c r="G33" s="207">
        <f t="shared" si="4"/>
        <v>28283</v>
      </c>
      <c r="H33" s="208">
        <f t="shared" si="5"/>
        <v>5.2983827034771541E-3</v>
      </c>
      <c r="I33" s="96">
        <f t="shared" si="6"/>
        <v>4486</v>
      </c>
      <c r="J33" s="241">
        <f t="shared" si="10"/>
        <v>1000</v>
      </c>
      <c r="K33" s="241"/>
      <c r="L33" s="322">
        <f t="shared" si="8"/>
        <v>3486</v>
      </c>
      <c r="M33" s="139">
        <f t="shared" si="7"/>
        <v>1029</v>
      </c>
      <c r="N33" s="99">
        <f t="shared" si="1"/>
        <v>2</v>
      </c>
      <c r="O33" s="213">
        <f t="shared" si="11"/>
        <v>5.7405281285878302E-4</v>
      </c>
      <c r="P33" s="95"/>
      <c r="Q33" s="231">
        <v>4024</v>
      </c>
      <c r="R33" s="241">
        <v>540</v>
      </c>
      <c r="S33" s="232">
        <v>3484</v>
      </c>
      <c r="T33" s="294">
        <v>998</v>
      </c>
      <c r="V33" s="212"/>
      <c r="W33" s="97"/>
      <c r="X33" s="98"/>
    </row>
    <row r="34" spans="1:24" s="93" customFormat="1">
      <c r="A34" s="144">
        <v>26</v>
      </c>
      <c r="B34" s="152" t="s">
        <v>220</v>
      </c>
      <c r="C34" s="267">
        <v>31004</v>
      </c>
      <c r="D34" s="206">
        <f t="shared" si="2"/>
        <v>2.1186814208094644E-2</v>
      </c>
      <c r="E34" s="255">
        <v>46938</v>
      </c>
      <c r="F34" s="206">
        <f t="shared" si="3"/>
        <v>1.2114029516236304E-2</v>
      </c>
      <c r="G34" s="207">
        <f t="shared" si="4"/>
        <v>77942</v>
      </c>
      <c r="H34" s="208">
        <f t="shared" si="5"/>
        <v>1.4601228464958326E-2</v>
      </c>
      <c r="I34" s="96">
        <f t="shared" si="6"/>
        <v>12362</v>
      </c>
      <c r="J34" s="241">
        <f t="shared" si="10"/>
        <v>1000</v>
      </c>
      <c r="K34" s="241"/>
      <c r="L34" s="322">
        <f t="shared" si="8"/>
        <v>11362</v>
      </c>
      <c r="M34" s="139">
        <f t="shared" si="7"/>
        <v>2835</v>
      </c>
      <c r="N34" s="99">
        <f t="shared" si="1"/>
        <v>726</v>
      </c>
      <c r="O34" s="213">
        <f t="shared" si="11"/>
        <v>6.825874388867996E-2</v>
      </c>
      <c r="P34" s="95"/>
      <c r="Q34" s="231">
        <v>11176</v>
      </c>
      <c r="R34" s="241">
        <v>540</v>
      </c>
      <c r="S34" s="232">
        <v>10636</v>
      </c>
      <c r="T34" s="294">
        <v>2771</v>
      </c>
      <c r="V34" s="212"/>
      <c r="W34" s="97"/>
      <c r="X34" s="98"/>
    </row>
    <row r="35" spans="1:24" s="93" customFormat="1">
      <c r="A35" s="144">
        <v>27</v>
      </c>
      <c r="B35" s="93" t="s">
        <v>172</v>
      </c>
      <c r="C35" s="267">
        <v>58910</v>
      </c>
      <c r="D35" s="206">
        <f t="shared" si="2"/>
        <v>4.0256587053246529E-2</v>
      </c>
      <c r="E35" s="255">
        <v>230294</v>
      </c>
      <c r="F35" s="206">
        <f t="shared" si="3"/>
        <v>5.9435602569605082E-2</v>
      </c>
      <c r="G35" s="207">
        <f t="shared" si="4"/>
        <v>289204</v>
      </c>
      <c r="H35" s="208">
        <f t="shared" si="5"/>
        <v>5.4177897372146053E-2</v>
      </c>
      <c r="I35" s="96">
        <f t="shared" si="6"/>
        <v>45869</v>
      </c>
      <c r="J35" s="241">
        <f t="shared" si="10"/>
        <v>1000</v>
      </c>
      <c r="K35" s="241"/>
      <c r="L35" s="322">
        <f t="shared" si="8"/>
        <v>44869</v>
      </c>
      <c r="M35" s="139">
        <f t="shared" si="7"/>
        <v>10519</v>
      </c>
      <c r="N35" s="99">
        <f t="shared" si="1"/>
        <v>3007</v>
      </c>
      <c r="O35" s="213">
        <f t="shared" si="11"/>
        <v>7.1831255076202763E-2</v>
      </c>
      <c r="P35" s="95"/>
      <c r="Q35" s="231">
        <v>42402</v>
      </c>
      <c r="R35" s="241">
        <v>540</v>
      </c>
      <c r="S35" s="232">
        <v>41862</v>
      </c>
      <c r="T35" s="294">
        <v>10513</v>
      </c>
      <c r="V35" s="212"/>
      <c r="W35" s="97"/>
      <c r="X35" s="98"/>
    </row>
    <row r="36" spans="1:24" s="93" customFormat="1">
      <c r="A36" s="144">
        <v>28</v>
      </c>
      <c r="B36" s="152" t="s">
        <v>221</v>
      </c>
      <c r="C36" s="267">
        <v>39877</v>
      </c>
      <c r="D36" s="206">
        <f t="shared" si="2"/>
        <v>2.725024481280448E-2</v>
      </c>
      <c r="E36" s="255">
        <v>105778</v>
      </c>
      <c r="F36" s="206">
        <f t="shared" si="3"/>
        <v>2.7299795776736201E-2</v>
      </c>
      <c r="G36" s="207">
        <f t="shared" si="4"/>
        <v>145655</v>
      </c>
      <c r="H36" s="208">
        <f t="shared" si="5"/>
        <v>2.7286211953292255E-2</v>
      </c>
      <c r="I36" s="96">
        <f t="shared" ref="I36:I57" si="12">ROUND(H36*$E$5,0)</f>
        <v>23101</v>
      </c>
      <c r="J36" s="241">
        <f t="shared" si="10"/>
        <v>1000</v>
      </c>
      <c r="K36" s="241"/>
      <c r="L36" s="322">
        <f t="shared" si="8"/>
        <v>22101</v>
      </c>
      <c r="M36" s="139">
        <f t="shared" ref="M36:M57" si="13">ROUND(H36*$F$5,0)</f>
        <v>5298</v>
      </c>
      <c r="N36" s="99">
        <f t="shared" si="1"/>
        <v>3579</v>
      </c>
      <c r="O36" s="213">
        <f t="shared" si="11"/>
        <v>0.19322967282150955</v>
      </c>
      <c r="P36" s="95"/>
      <c r="Q36" s="231">
        <v>19062</v>
      </c>
      <c r="R36" s="241">
        <v>540</v>
      </c>
      <c r="S36" s="232">
        <v>18522</v>
      </c>
      <c r="T36" s="294">
        <v>4726</v>
      </c>
      <c r="V36" s="212"/>
      <c r="W36" s="97"/>
      <c r="X36" s="98"/>
    </row>
    <row r="37" spans="1:24" s="93" customFormat="1">
      <c r="A37" s="144">
        <v>29</v>
      </c>
      <c r="B37" s="93" t="s">
        <v>222</v>
      </c>
      <c r="C37" s="267">
        <v>15208</v>
      </c>
      <c r="D37" s="206">
        <f t="shared" si="2"/>
        <v>1.0392500015375542E-2</v>
      </c>
      <c r="E37" s="255">
        <v>26570</v>
      </c>
      <c r="F37" s="206">
        <f t="shared" si="3"/>
        <v>6.8573387073671355E-3</v>
      </c>
      <c r="G37" s="207">
        <f t="shared" si="4"/>
        <v>41778</v>
      </c>
      <c r="H37" s="208">
        <f t="shared" si="5"/>
        <v>7.8264622771936684E-3</v>
      </c>
      <c r="I37" s="96">
        <f t="shared" si="12"/>
        <v>6626</v>
      </c>
      <c r="J37" s="241">
        <f t="shared" si="10"/>
        <v>1000</v>
      </c>
      <c r="K37" s="241"/>
      <c r="L37" s="322">
        <f t="shared" si="8"/>
        <v>5626</v>
      </c>
      <c r="M37" s="139">
        <f t="shared" si="13"/>
        <v>1520</v>
      </c>
      <c r="N37" s="99">
        <f t="shared" si="1"/>
        <v>611</v>
      </c>
      <c r="O37" s="213">
        <f t="shared" ref="O37:O58" si="14">(L37-S37)/S37</f>
        <v>0.1218344965104686</v>
      </c>
      <c r="P37" s="95"/>
      <c r="Q37" s="231">
        <v>5555</v>
      </c>
      <c r="R37" s="241">
        <v>540</v>
      </c>
      <c r="S37" s="232">
        <v>5015</v>
      </c>
      <c r="T37" s="294">
        <v>1377</v>
      </c>
      <c r="V37" s="212"/>
      <c r="W37" s="97"/>
      <c r="X37" s="98"/>
    </row>
    <row r="38" spans="1:24" s="93" customFormat="1">
      <c r="A38" s="144">
        <v>30</v>
      </c>
      <c r="B38" s="93" t="s">
        <v>173</v>
      </c>
      <c r="C38" s="267">
        <v>52115</v>
      </c>
      <c r="D38" s="206">
        <f t="shared" si="2"/>
        <v>3.5613173218128381E-2</v>
      </c>
      <c r="E38" s="255">
        <v>272069</v>
      </c>
      <c r="F38" s="206">
        <f t="shared" si="3"/>
        <v>7.0217135294492625E-2</v>
      </c>
      <c r="G38" s="207">
        <f t="shared" si="4"/>
        <v>324184</v>
      </c>
      <c r="H38" s="208">
        <f t="shared" si="5"/>
        <v>6.073085946837456E-2</v>
      </c>
      <c r="I38" s="96">
        <f t="shared" si="12"/>
        <v>51417</v>
      </c>
      <c r="J38" s="241">
        <f t="shared" si="10"/>
        <v>1000</v>
      </c>
      <c r="K38" s="241"/>
      <c r="L38" s="322">
        <f t="shared" si="8"/>
        <v>50417</v>
      </c>
      <c r="M38" s="139">
        <f t="shared" si="13"/>
        <v>11792</v>
      </c>
      <c r="N38" s="99">
        <f t="shared" si="1"/>
        <v>2432</v>
      </c>
      <c r="O38" s="213">
        <f t="shared" si="14"/>
        <v>5.0682504949463372E-2</v>
      </c>
      <c r="P38" s="95"/>
      <c r="Q38" s="231">
        <v>48525</v>
      </c>
      <c r="R38" s="241">
        <v>540</v>
      </c>
      <c r="S38" s="232">
        <v>47985</v>
      </c>
      <c r="T38" s="294">
        <v>12032</v>
      </c>
      <c r="V38" s="212"/>
      <c r="W38" s="97"/>
      <c r="X38" s="98"/>
    </row>
    <row r="39" spans="1:24" s="93" customFormat="1">
      <c r="A39" s="144">
        <v>31</v>
      </c>
      <c r="B39" s="93" t="s">
        <v>223</v>
      </c>
      <c r="C39" s="267">
        <v>16106</v>
      </c>
      <c r="D39" s="206">
        <f t="shared" si="2"/>
        <v>1.1006155000502268E-2</v>
      </c>
      <c r="E39" s="255">
        <v>22818</v>
      </c>
      <c r="F39" s="206">
        <f t="shared" si="3"/>
        <v>5.8890009267859728E-3</v>
      </c>
      <c r="G39" s="207">
        <f t="shared" si="4"/>
        <v>38924</v>
      </c>
      <c r="H39" s="208">
        <f t="shared" si="5"/>
        <v>7.2918095092509537E-3</v>
      </c>
      <c r="I39" s="96">
        <f t="shared" si="12"/>
        <v>6173</v>
      </c>
      <c r="J39" s="241">
        <f t="shared" si="10"/>
        <v>1000</v>
      </c>
      <c r="K39" s="241"/>
      <c r="L39" s="322">
        <f t="shared" si="8"/>
        <v>5173</v>
      </c>
      <c r="M39" s="139">
        <f t="shared" si="13"/>
        <v>1416</v>
      </c>
      <c r="N39" s="99">
        <f t="shared" si="1"/>
        <v>-951</v>
      </c>
      <c r="O39" s="213">
        <f t="shared" si="14"/>
        <v>-0.15529065969954278</v>
      </c>
      <c r="P39" s="95"/>
      <c r="Q39" s="231">
        <v>6664</v>
      </c>
      <c r="R39" s="241">
        <v>540</v>
      </c>
      <c r="S39" s="232">
        <v>6124</v>
      </c>
      <c r="T39" s="294">
        <v>1652</v>
      </c>
      <c r="V39" s="212"/>
      <c r="W39" s="97"/>
      <c r="X39" s="98"/>
    </row>
    <row r="40" spans="1:24" s="93" customFormat="1">
      <c r="A40" s="144">
        <v>32</v>
      </c>
      <c r="B40" s="93" t="s">
        <v>174</v>
      </c>
      <c r="C40" s="267">
        <v>56143</v>
      </c>
      <c r="D40" s="206">
        <f t="shared" si="2"/>
        <v>3.8365737004420641E-2</v>
      </c>
      <c r="E40" s="255">
        <v>205008</v>
      </c>
      <c r="F40" s="206">
        <f t="shared" si="3"/>
        <v>5.2909645981178838E-2</v>
      </c>
      <c r="G40" s="207">
        <f t="shared" si="4"/>
        <v>261151</v>
      </c>
      <c r="H40" s="208">
        <f t="shared" si="5"/>
        <v>4.8922601612126089E-2</v>
      </c>
      <c r="I40" s="96">
        <f t="shared" si="12"/>
        <v>41419</v>
      </c>
      <c r="J40" s="241">
        <f t="shared" si="10"/>
        <v>1000</v>
      </c>
      <c r="K40" s="241"/>
      <c r="L40" s="322">
        <f t="shared" si="8"/>
        <v>40419</v>
      </c>
      <c r="M40" s="139">
        <f t="shared" si="13"/>
        <v>9499</v>
      </c>
      <c r="N40" s="99">
        <f t="shared" si="1"/>
        <v>5301</v>
      </c>
      <c r="O40" s="213">
        <f t="shared" si="14"/>
        <v>0.15094823167606355</v>
      </c>
      <c r="P40" s="95"/>
      <c r="Q40" s="231">
        <v>35658</v>
      </c>
      <c r="R40" s="241">
        <v>540</v>
      </c>
      <c r="S40" s="232">
        <v>35118</v>
      </c>
      <c r="T40" s="294">
        <v>8841</v>
      </c>
      <c r="V40" s="212"/>
      <c r="W40" s="97"/>
      <c r="X40" s="98"/>
    </row>
    <row r="41" spans="1:24" s="93" customFormat="1">
      <c r="A41" s="144">
        <v>33</v>
      </c>
      <c r="B41" s="152" t="s">
        <v>224</v>
      </c>
      <c r="C41" s="267">
        <v>18535</v>
      </c>
      <c r="D41" s="206">
        <f t="shared" si="2"/>
        <v>1.2666030233100058E-2</v>
      </c>
      <c r="E41" s="255">
        <v>10401</v>
      </c>
      <c r="F41" s="206">
        <f t="shared" si="3"/>
        <v>2.6843500148786442E-3</v>
      </c>
      <c r="G41" s="207">
        <f t="shared" si="4"/>
        <v>28936</v>
      </c>
      <c r="H41" s="208">
        <f t="shared" si="5"/>
        <v>5.4207121559882235E-3</v>
      </c>
      <c r="I41" s="96">
        <f t="shared" si="12"/>
        <v>4589</v>
      </c>
      <c r="J41" s="241">
        <f t="shared" si="10"/>
        <v>1000</v>
      </c>
      <c r="K41" s="241"/>
      <c r="L41" s="322">
        <f t="shared" si="8"/>
        <v>3589</v>
      </c>
      <c r="M41" s="139">
        <f t="shared" si="13"/>
        <v>1053</v>
      </c>
      <c r="N41" s="99">
        <f t="shared" si="1"/>
        <v>247</v>
      </c>
      <c r="O41" s="213">
        <f t="shared" si="14"/>
        <v>7.3907839616995805E-2</v>
      </c>
      <c r="P41" s="95"/>
      <c r="Q41" s="231">
        <v>3882</v>
      </c>
      <c r="R41" s="241">
        <v>540</v>
      </c>
      <c r="S41" s="232">
        <v>3342</v>
      </c>
      <c r="T41" s="294">
        <v>962</v>
      </c>
      <c r="V41" s="212"/>
      <c r="W41" s="97"/>
      <c r="X41" s="98"/>
    </row>
    <row r="42" spans="1:24" s="93" customFormat="1">
      <c r="A42" s="144">
        <v>34</v>
      </c>
      <c r="B42" s="93" t="s">
        <v>225</v>
      </c>
      <c r="C42" s="267">
        <v>24301</v>
      </c>
      <c r="D42" s="206">
        <f t="shared" si="2"/>
        <v>1.6606269257866981E-2</v>
      </c>
      <c r="E42" s="255">
        <v>73792</v>
      </c>
      <c r="F42" s="206">
        <f t="shared" si="3"/>
        <v>1.9044664580129305E-2</v>
      </c>
      <c r="G42" s="207">
        <f t="shared" si="4"/>
        <v>98093</v>
      </c>
      <c r="H42" s="208">
        <f t="shared" si="5"/>
        <v>1.8376206715418605E-2</v>
      </c>
      <c r="I42" s="96">
        <f t="shared" si="12"/>
        <v>15558</v>
      </c>
      <c r="J42" s="241">
        <f t="shared" si="10"/>
        <v>1000</v>
      </c>
      <c r="K42" s="241"/>
      <c r="L42" s="322">
        <f t="shared" si="8"/>
        <v>14558</v>
      </c>
      <c r="M42" s="139">
        <f t="shared" si="13"/>
        <v>3568</v>
      </c>
      <c r="N42" s="99">
        <f t="shared" si="1"/>
        <v>2530</v>
      </c>
      <c r="O42" s="213">
        <f t="shared" si="14"/>
        <v>0.21034253408713002</v>
      </c>
      <c r="P42" s="95"/>
      <c r="Q42" s="231">
        <v>12568</v>
      </c>
      <c r="R42" s="241">
        <v>540</v>
      </c>
      <c r="S42" s="232">
        <v>12028</v>
      </c>
      <c r="T42" s="294">
        <v>3116</v>
      </c>
      <c r="V42" s="212"/>
      <c r="W42" s="97"/>
      <c r="X42" s="98"/>
    </row>
    <row r="43" spans="1:24" s="93" customFormat="1">
      <c r="A43" s="144">
        <v>35</v>
      </c>
      <c r="B43" s="93" t="s">
        <v>226</v>
      </c>
      <c r="C43" s="267">
        <v>41845</v>
      </c>
      <c r="D43" s="206">
        <f t="shared" si="2"/>
        <v>2.8595092263505362E-2</v>
      </c>
      <c r="E43" s="255">
        <v>53706</v>
      </c>
      <c r="F43" s="206">
        <f t="shared" si="3"/>
        <v>1.3860753956261173E-2</v>
      </c>
      <c r="G43" s="207">
        <f t="shared" si="4"/>
        <v>95551</v>
      </c>
      <c r="H43" s="208">
        <f t="shared" si="5"/>
        <v>1.7900002322948257E-2</v>
      </c>
      <c r="I43" s="96">
        <f t="shared" si="12"/>
        <v>15155</v>
      </c>
      <c r="J43" s="241">
        <f t="shared" si="10"/>
        <v>1000</v>
      </c>
      <c r="K43" s="241"/>
      <c r="L43" s="322">
        <f t="shared" si="8"/>
        <v>14155</v>
      </c>
      <c r="M43" s="139">
        <f t="shared" si="13"/>
        <v>3476</v>
      </c>
      <c r="N43" s="99">
        <f t="shared" si="1"/>
        <v>1424</v>
      </c>
      <c r="O43" s="213">
        <f t="shared" si="14"/>
        <v>0.11185295734820516</v>
      </c>
      <c r="P43" s="95"/>
      <c r="Q43" s="231">
        <v>13271</v>
      </c>
      <c r="R43" s="241">
        <v>540</v>
      </c>
      <c r="S43" s="232">
        <v>12731</v>
      </c>
      <c r="T43" s="294">
        <v>3291</v>
      </c>
      <c r="V43" s="212"/>
      <c r="W43" s="97"/>
      <c r="X43" s="98"/>
    </row>
    <row r="44" spans="1:24" s="93" customFormat="1">
      <c r="A44" s="144">
        <v>36</v>
      </c>
      <c r="B44" s="93" t="s">
        <v>175</v>
      </c>
      <c r="C44" s="267">
        <v>16052</v>
      </c>
      <c r="D44" s="206">
        <f t="shared" si="2"/>
        <v>1.0969253698501328E-2</v>
      </c>
      <c r="E44" s="255">
        <v>14667</v>
      </c>
      <c r="F44" s="206">
        <f t="shared" si="3"/>
        <v>3.7853438773411282E-3</v>
      </c>
      <c r="G44" s="207">
        <f t="shared" si="4"/>
        <v>30719</v>
      </c>
      <c r="H44" s="208">
        <f t="shared" si="5"/>
        <v>5.7547296350498418E-3</v>
      </c>
      <c r="I44" s="96">
        <f t="shared" si="12"/>
        <v>4872</v>
      </c>
      <c r="J44" s="241">
        <f t="shared" si="10"/>
        <v>1000</v>
      </c>
      <c r="K44" s="241"/>
      <c r="L44" s="322">
        <f t="shared" si="8"/>
        <v>3872</v>
      </c>
      <c r="M44" s="139">
        <f t="shared" si="13"/>
        <v>1117</v>
      </c>
      <c r="N44" s="99">
        <f t="shared" si="1"/>
        <v>294</v>
      </c>
      <c r="O44" s="213">
        <f t="shared" si="14"/>
        <v>8.2168809390721076E-2</v>
      </c>
      <c r="P44" s="95"/>
      <c r="Q44" s="231">
        <v>4118</v>
      </c>
      <c r="R44" s="241">
        <v>540</v>
      </c>
      <c r="S44" s="232">
        <v>3578</v>
      </c>
      <c r="T44" s="294">
        <v>1021</v>
      </c>
      <c r="V44" s="212"/>
      <c r="W44" s="97"/>
      <c r="X44" s="98"/>
    </row>
    <row r="45" spans="1:24" s="93" customFormat="1">
      <c r="A45" s="144">
        <v>37</v>
      </c>
      <c r="B45" s="152" t="s">
        <v>227</v>
      </c>
      <c r="C45" s="267">
        <v>20558</v>
      </c>
      <c r="D45" s="206">
        <f t="shared" si="2"/>
        <v>1.4048462343246344E-2</v>
      </c>
      <c r="E45" s="255">
        <v>58957</v>
      </c>
      <c r="F45" s="206">
        <f t="shared" si="3"/>
        <v>1.5215962294702455E-2</v>
      </c>
      <c r="G45" s="207">
        <f t="shared" si="4"/>
        <v>79515</v>
      </c>
      <c r="H45" s="208">
        <f t="shared" si="5"/>
        <v>1.489590569129816E-2</v>
      </c>
      <c r="I45" s="96">
        <f t="shared" si="12"/>
        <v>12611</v>
      </c>
      <c r="J45" s="241">
        <f t="shared" si="10"/>
        <v>1000</v>
      </c>
      <c r="K45" s="241"/>
      <c r="L45" s="322">
        <f t="shared" si="8"/>
        <v>11611</v>
      </c>
      <c r="M45" s="139">
        <f t="shared" si="13"/>
        <v>2892</v>
      </c>
      <c r="N45" s="99">
        <f t="shared" si="1"/>
        <v>798</v>
      </c>
      <c r="O45" s="213">
        <f t="shared" si="14"/>
        <v>7.3800055488763519E-2</v>
      </c>
      <c r="P45" s="95"/>
      <c r="Q45" s="231">
        <v>11353</v>
      </c>
      <c r="R45" s="241">
        <v>540</v>
      </c>
      <c r="S45" s="232">
        <v>10813</v>
      </c>
      <c r="T45" s="294">
        <v>2815</v>
      </c>
      <c r="V45" s="212"/>
      <c r="W45" s="97"/>
      <c r="X45" s="98"/>
    </row>
    <row r="46" spans="1:24" s="93" customFormat="1">
      <c r="A46" s="144">
        <v>38</v>
      </c>
      <c r="B46" s="152" t="s">
        <v>228</v>
      </c>
      <c r="C46" s="267">
        <v>17020</v>
      </c>
      <c r="D46" s="206">
        <f t="shared" si="2"/>
        <v>1.1630743704740383E-2</v>
      </c>
      <c r="E46" s="255">
        <v>22583</v>
      </c>
      <c r="F46" s="206">
        <f t="shared" si="3"/>
        <v>5.8283507726184427E-3</v>
      </c>
      <c r="G46" s="207">
        <f t="shared" si="4"/>
        <v>39603</v>
      </c>
      <c r="H46" s="208">
        <f t="shared" si="5"/>
        <v>7.4190096597180543E-3</v>
      </c>
      <c r="I46" s="96">
        <f t="shared" si="12"/>
        <v>6281</v>
      </c>
      <c r="J46" s="241">
        <f t="shared" si="10"/>
        <v>1000</v>
      </c>
      <c r="K46" s="241"/>
      <c r="L46" s="322">
        <f t="shared" si="8"/>
        <v>5281</v>
      </c>
      <c r="M46" s="139">
        <f t="shared" si="13"/>
        <v>1441</v>
      </c>
      <c r="N46" s="99">
        <f t="shared" si="1"/>
        <v>673</v>
      </c>
      <c r="O46" s="213">
        <f t="shared" si="14"/>
        <v>0.14605034722222221</v>
      </c>
      <c r="P46" s="95"/>
      <c r="Q46" s="231">
        <v>5148</v>
      </c>
      <c r="R46" s="241">
        <v>540</v>
      </c>
      <c r="S46" s="232">
        <v>4608</v>
      </c>
      <c r="T46" s="294">
        <v>1277</v>
      </c>
      <c r="V46" s="212"/>
      <c r="W46" s="97"/>
      <c r="X46" s="98"/>
    </row>
    <row r="47" spans="1:24" s="93" customFormat="1">
      <c r="A47" s="144">
        <v>39</v>
      </c>
      <c r="B47" s="93" t="s">
        <v>229</v>
      </c>
      <c r="C47" s="267">
        <v>31871</v>
      </c>
      <c r="D47" s="206">
        <f t="shared" si="2"/>
        <v>2.177928511244305E-2</v>
      </c>
      <c r="E47" s="255">
        <v>50967</v>
      </c>
      <c r="F47" s="206">
        <f t="shared" si="3"/>
        <v>1.3153857053006429E-2</v>
      </c>
      <c r="G47" s="207">
        <f t="shared" si="4"/>
        <v>82838</v>
      </c>
      <c r="H47" s="208">
        <f t="shared" si="5"/>
        <v>1.5518418356986191E-2</v>
      </c>
      <c r="I47" s="96">
        <f t="shared" si="12"/>
        <v>13138</v>
      </c>
      <c r="J47" s="241">
        <f t="shared" si="10"/>
        <v>1000</v>
      </c>
      <c r="K47" s="241"/>
      <c r="L47" s="322">
        <f t="shared" si="8"/>
        <v>12138</v>
      </c>
      <c r="M47" s="139">
        <f t="shared" si="13"/>
        <v>3013</v>
      </c>
      <c r="N47" s="99">
        <f t="shared" si="1"/>
        <v>1257</v>
      </c>
      <c r="O47" s="213">
        <f t="shared" si="14"/>
        <v>0.11552247036118003</v>
      </c>
      <c r="P47" s="95"/>
      <c r="Q47" s="231">
        <v>11421</v>
      </c>
      <c r="R47" s="241">
        <v>540</v>
      </c>
      <c r="S47" s="232">
        <v>10881</v>
      </c>
      <c r="T47" s="294">
        <v>2832</v>
      </c>
      <c r="V47" s="212"/>
      <c r="W47" s="97"/>
      <c r="X47" s="98"/>
    </row>
    <row r="48" spans="1:24" s="93" customFormat="1">
      <c r="A48" s="144">
        <v>40</v>
      </c>
      <c r="B48" s="152" t="s">
        <v>230</v>
      </c>
      <c r="C48" s="267">
        <v>27803</v>
      </c>
      <c r="D48" s="206">
        <f t="shared" si="2"/>
        <v>1.8999387028372318E-2</v>
      </c>
      <c r="E48" s="255">
        <v>133408</v>
      </c>
      <c r="F48" s="206">
        <f t="shared" si="3"/>
        <v>3.4430705392263262E-2</v>
      </c>
      <c r="G48" s="207">
        <f t="shared" si="4"/>
        <v>161211</v>
      </c>
      <c r="H48" s="208">
        <f t="shared" si="5"/>
        <v>3.0200388007292561E-2</v>
      </c>
      <c r="I48" s="96">
        <f t="shared" si="12"/>
        <v>25569</v>
      </c>
      <c r="J48" s="241">
        <f t="shared" si="10"/>
        <v>1000</v>
      </c>
      <c r="K48" s="241"/>
      <c r="L48" s="322">
        <f t="shared" si="8"/>
        <v>24569</v>
      </c>
      <c r="M48" s="139">
        <f t="shared" si="13"/>
        <v>5864</v>
      </c>
      <c r="N48" s="99">
        <f t="shared" si="1"/>
        <v>-2108</v>
      </c>
      <c r="O48" s="213">
        <f t="shared" si="14"/>
        <v>-7.9019379990253782E-2</v>
      </c>
      <c r="P48" s="95"/>
      <c r="Q48" s="231">
        <v>27217</v>
      </c>
      <c r="R48" s="241">
        <v>540</v>
      </c>
      <c r="S48" s="232">
        <v>26677</v>
      </c>
      <c r="T48" s="294">
        <v>6748</v>
      </c>
      <c r="V48" s="212"/>
      <c r="W48" s="97"/>
      <c r="X48" s="98"/>
    </row>
    <row r="49" spans="1:24" s="93" customFormat="1">
      <c r="A49" s="144">
        <v>41</v>
      </c>
      <c r="B49" s="93" t="s">
        <v>178</v>
      </c>
      <c r="C49" s="267">
        <v>95572</v>
      </c>
      <c r="D49" s="206">
        <f t="shared" si="2"/>
        <v>6.5309837682106214E-2</v>
      </c>
      <c r="E49" s="255">
        <v>272104</v>
      </c>
      <c r="F49" s="206">
        <f t="shared" si="3"/>
        <v>7.0226168296177158E-2</v>
      </c>
      <c r="G49" s="207">
        <f t="shared" si="4"/>
        <v>367676</v>
      </c>
      <c r="H49" s="208">
        <f t="shared" si="5"/>
        <v>6.8878413141592681E-2</v>
      </c>
      <c r="I49" s="96">
        <f t="shared" si="12"/>
        <v>58315</v>
      </c>
      <c r="J49" s="241">
        <f t="shared" si="10"/>
        <v>1000</v>
      </c>
      <c r="K49" s="317">
        <f>H67*J3</f>
        <v>4331.6745365265178</v>
      </c>
      <c r="L49" s="322">
        <f t="shared" si="8"/>
        <v>52983.325463473484</v>
      </c>
      <c r="M49" s="139">
        <f t="shared" si="13"/>
        <v>13374</v>
      </c>
      <c r="N49" s="99">
        <f t="shared" si="1"/>
        <v>1307.325463473484</v>
      </c>
      <c r="O49" s="213">
        <f t="shared" si="14"/>
        <v>2.5298503434350261E-2</v>
      </c>
      <c r="P49" s="95"/>
      <c r="Q49" s="231">
        <v>52216</v>
      </c>
      <c r="R49" s="241">
        <v>540</v>
      </c>
      <c r="S49" s="232">
        <v>51676</v>
      </c>
      <c r="T49" s="294">
        <v>12947</v>
      </c>
      <c r="V49" s="212"/>
      <c r="W49" s="97"/>
      <c r="X49" s="98"/>
    </row>
    <row r="50" spans="1:24" s="93" customFormat="1">
      <c r="A50" s="144">
        <v>42</v>
      </c>
      <c r="B50" s="93" t="s">
        <v>231</v>
      </c>
      <c r="C50" s="267">
        <v>27027</v>
      </c>
      <c r="D50" s="206">
        <f t="shared" si="2"/>
        <v>1.8469101651469935E-2</v>
      </c>
      <c r="E50" s="255">
        <v>75837</v>
      </c>
      <c r="F50" s="206">
        <f t="shared" si="3"/>
        <v>1.9572449964268025E-2</v>
      </c>
      <c r="G50" s="207">
        <f t="shared" si="4"/>
        <v>102864</v>
      </c>
      <c r="H50" s="208">
        <f t="shared" si="5"/>
        <v>1.9269979790350174E-2</v>
      </c>
      <c r="I50" s="96">
        <f t="shared" si="12"/>
        <v>16315</v>
      </c>
      <c r="J50" s="241">
        <f t="shared" si="10"/>
        <v>1000</v>
      </c>
      <c r="K50" s="241"/>
      <c r="L50" s="322">
        <f t="shared" si="8"/>
        <v>15315</v>
      </c>
      <c r="M50" s="139">
        <f t="shared" si="13"/>
        <v>3742</v>
      </c>
      <c r="N50" s="99">
        <f t="shared" si="1"/>
        <v>1733</v>
      </c>
      <c r="O50" s="213">
        <f t="shared" si="14"/>
        <v>0.12759534678250625</v>
      </c>
      <c r="P50" s="95"/>
      <c r="Q50" s="231">
        <v>14122</v>
      </c>
      <c r="R50" s="241">
        <v>540</v>
      </c>
      <c r="S50" s="232">
        <v>13582</v>
      </c>
      <c r="T50" s="294">
        <v>3501</v>
      </c>
      <c r="V50" s="212"/>
      <c r="W50" s="97"/>
      <c r="X50" s="98"/>
    </row>
    <row r="51" spans="1:24" s="93" customFormat="1">
      <c r="A51" s="144">
        <v>43</v>
      </c>
      <c r="B51" s="152" t="s">
        <v>232</v>
      </c>
      <c r="C51" s="267">
        <v>7816</v>
      </c>
      <c r="D51" s="206">
        <f t="shared" si="2"/>
        <v>5.3411217859136795E-3</v>
      </c>
      <c r="E51" s="255">
        <v>9823</v>
      </c>
      <c r="F51" s="206">
        <f t="shared" si="3"/>
        <v>2.5351764442027615E-3</v>
      </c>
      <c r="G51" s="207">
        <f t="shared" si="4"/>
        <v>17639</v>
      </c>
      <c r="H51" s="208">
        <f t="shared" si="5"/>
        <v>3.3043938940930423E-3</v>
      </c>
      <c r="I51" s="96">
        <f t="shared" si="12"/>
        <v>2798</v>
      </c>
      <c r="J51" s="241">
        <f t="shared" si="10"/>
        <v>1000</v>
      </c>
      <c r="K51" s="241"/>
      <c r="L51" s="322">
        <f t="shared" si="8"/>
        <v>1798</v>
      </c>
      <c r="M51" s="139">
        <f t="shared" si="13"/>
        <v>642</v>
      </c>
      <c r="N51" s="99">
        <f>L51-S51</f>
        <v>207</v>
      </c>
      <c r="O51" s="213">
        <f t="shared" si="14"/>
        <v>0.13010685103708358</v>
      </c>
      <c r="P51" s="95"/>
      <c r="Q51" s="231">
        <v>2131</v>
      </c>
      <c r="R51" s="241">
        <v>540</v>
      </c>
      <c r="S51" s="232">
        <v>1591</v>
      </c>
      <c r="T51" s="294">
        <v>528</v>
      </c>
      <c r="V51" s="212"/>
      <c r="W51" s="97"/>
      <c r="X51" s="98"/>
    </row>
    <row r="52" spans="1:24" s="93" customFormat="1">
      <c r="A52" s="144">
        <v>44</v>
      </c>
      <c r="B52" s="93" t="s">
        <v>233</v>
      </c>
      <c r="C52" s="267">
        <v>22647</v>
      </c>
      <c r="D52" s="206">
        <f t="shared" si="2"/>
        <v>1.5475996044727111E-2</v>
      </c>
      <c r="E52" s="255">
        <v>45925</v>
      </c>
      <c r="F52" s="206">
        <f t="shared" si="3"/>
        <v>1.1852588638909888E-2</v>
      </c>
      <c r="G52" s="207">
        <f t="shared" si="4"/>
        <v>68572</v>
      </c>
      <c r="H52" s="208">
        <f t="shared" si="5"/>
        <v>1.2845903855419701E-2</v>
      </c>
      <c r="I52" s="96">
        <f t="shared" si="12"/>
        <v>10876</v>
      </c>
      <c r="J52" s="241">
        <f t="shared" si="10"/>
        <v>1000</v>
      </c>
      <c r="K52" s="241"/>
      <c r="L52" s="322">
        <f t="shared" si="8"/>
        <v>9876</v>
      </c>
      <c r="M52" s="139">
        <f t="shared" si="13"/>
        <v>2494</v>
      </c>
      <c r="N52" s="99">
        <f t="shared" si="1"/>
        <v>518</v>
      </c>
      <c r="O52" s="213">
        <f t="shared" si="14"/>
        <v>5.5353708057277198E-2</v>
      </c>
      <c r="P52" s="95"/>
      <c r="Q52" s="231">
        <v>9898</v>
      </c>
      <c r="R52" s="241">
        <v>540</v>
      </c>
      <c r="S52" s="232">
        <v>9358</v>
      </c>
      <c r="T52" s="294">
        <v>2454</v>
      </c>
      <c r="V52" s="212"/>
      <c r="W52" s="97"/>
      <c r="X52" s="98"/>
    </row>
    <row r="53" spans="1:24" s="93" customFormat="1">
      <c r="A53" s="144">
        <v>45</v>
      </c>
      <c r="B53" s="93" t="s">
        <v>234</v>
      </c>
      <c r="C53" s="267">
        <v>14255</v>
      </c>
      <c r="D53" s="206">
        <f t="shared" si="2"/>
        <v>9.7412603708034173E-3</v>
      </c>
      <c r="E53" s="255">
        <v>30049</v>
      </c>
      <c r="F53" s="206">
        <f t="shared" si="3"/>
        <v>7.7552190748089974E-3</v>
      </c>
      <c r="G53" s="207">
        <f t="shared" si="4"/>
        <v>44304</v>
      </c>
      <c r="H53" s="208">
        <f t="shared" si="5"/>
        <v>8.2996693170756929E-3</v>
      </c>
      <c r="I53" s="96">
        <f t="shared" si="12"/>
        <v>7027</v>
      </c>
      <c r="J53" s="241">
        <f t="shared" si="10"/>
        <v>1000</v>
      </c>
      <c r="K53" s="241"/>
      <c r="L53" s="322">
        <f t="shared" si="8"/>
        <v>6027</v>
      </c>
      <c r="M53" s="139">
        <f t="shared" si="13"/>
        <v>1612</v>
      </c>
      <c r="N53" s="99">
        <f t="shared" si="1"/>
        <v>183</v>
      </c>
      <c r="O53" s="213">
        <f t="shared" si="14"/>
        <v>3.1314168377823408E-2</v>
      </c>
      <c r="P53" s="95"/>
      <c r="Q53" s="231">
        <v>6384</v>
      </c>
      <c r="R53" s="241">
        <v>540</v>
      </c>
      <c r="S53" s="232">
        <v>5844</v>
      </c>
      <c r="T53" s="294">
        <v>1583</v>
      </c>
      <c r="V53" s="212"/>
      <c r="W53" s="97"/>
      <c r="X53" s="98"/>
    </row>
    <row r="54" spans="1:24" s="93" customFormat="1">
      <c r="A54" s="144">
        <v>46</v>
      </c>
      <c r="B54" s="93" t="s">
        <v>180</v>
      </c>
      <c r="C54" s="267">
        <v>22760</v>
      </c>
      <c r="D54" s="206">
        <f t="shared" si="2"/>
        <v>1.5553215435951298E-2</v>
      </c>
      <c r="E54" s="255">
        <v>56152</v>
      </c>
      <c r="F54" s="206">
        <f t="shared" si="3"/>
        <v>1.4492031731128317E-2</v>
      </c>
      <c r="G54" s="207">
        <f t="shared" si="4"/>
        <v>78912</v>
      </c>
      <c r="H54" s="208">
        <f t="shared" si="5"/>
        <v>1.4782942965625611E-2</v>
      </c>
      <c r="I54" s="96">
        <f t="shared" si="12"/>
        <v>12516</v>
      </c>
      <c r="J54" s="241">
        <f t="shared" si="10"/>
        <v>1000</v>
      </c>
      <c r="K54" s="241"/>
      <c r="L54" s="322">
        <f t="shared" si="8"/>
        <v>11516</v>
      </c>
      <c r="M54" s="139">
        <f t="shared" si="13"/>
        <v>2870</v>
      </c>
      <c r="N54" s="99">
        <f t="shared" si="1"/>
        <v>1323</v>
      </c>
      <c r="O54" s="213">
        <f t="shared" si="14"/>
        <v>0.12979495732365348</v>
      </c>
      <c r="P54" s="95"/>
      <c r="Q54" s="231">
        <v>10733</v>
      </c>
      <c r="R54" s="241">
        <v>540</v>
      </c>
      <c r="S54" s="232">
        <v>10193</v>
      </c>
      <c r="T54" s="294">
        <v>2661</v>
      </c>
      <c r="V54" s="212"/>
      <c r="W54" s="97"/>
      <c r="X54" s="98"/>
    </row>
    <row r="55" spans="1:24" s="93" customFormat="1">
      <c r="A55" s="144">
        <v>47</v>
      </c>
      <c r="B55" s="152" t="s">
        <v>235</v>
      </c>
      <c r="C55" s="267">
        <v>17809</v>
      </c>
      <c r="D55" s="206">
        <f t="shared" si="2"/>
        <v>1.2169912728420768E-2</v>
      </c>
      <c r="E55" s="255">
        <v>33850</v>
      </c>
      <c r="F55" s="206">
        <f t="shared" si="3"/>
        <v>8.7362030577484966E-3</v>
      </c>
      <c r="G55" s="207">
        <f t="shared" si="4"/>
        <v>51659</v>
      </c>
      <c r="H55" s="208">
        <f t="shared" si="5"/>
        <v>9.6775148350219664E-3</v>
      </c>
      <c r="I55" s="96">
        <f t="shared" si="12"/>
        <v>8193</v>
      </c>
      <c r="J55" s="241">
        <f t="shared" si="10"/>
        <v>1000</v>
      </c>
      <c r="K55" s="241"/>
      <c r="L55" s="322">
        <f t="shared" si="8"/>
        <v>7193</v>
      </c>
      <c r="M55" s="139">
        <f t="shared" si="13"/>
        <v>1879</v>
      </c>
      <c r="N55" s="99">
        <f t="shared" si="1"/>
        <v>-854</v>
      </c>
      <c r="O55" s="213">
        <f t="shared" si="14"/>
        <v>-0.10612650677271032</v>
      </c>
      <c r="P55" s="95"/>
      <c r="Q55" s="231">
        <v>8587</v>
      </c>
      <c r="R55" s="241">
        <v>540</v>
      </c>
      <c r="S55" s="232">
        <v>8047</v>
      </c>
      <c r="T55" s="294">
        <v>2129</v>
      </c>
      <c r="V55" s="212"/>
      <c r="W55" s="97"/>
      <c r="X55" s="98"/>
    </row>
    <row r="56" spans="1:24" s="93" customFormat="1">
      <c r="A56" s="144">
        <v>48</v>
      </c>
      <c r="B56" s="152" t="s">
        <v>236</v>
      </c>
      <c r="C56" s="267">
        <v>12654</v>
      </c>
      <c r="D56" s="206">
        <f t="shared" si="2"/>
        <v>8.6472051022200239E-3</v>
      </c>
      <c r="E56" s="255">
        <v>23098</v>
      </c>
      <c r="F56" s="206">
        <f t="shared" si="3"/>
        <v>5.9612649402621789E-3</v>
      </c>
      <c r="G56" s="207">
        <f t="shared" si="4"/>
        <v>35752</v>
      </c>
      <c r="H56" s="208">
        <f t="shared" si="5"/>
        <v>6.6975843586152533E-3</v>
      </c>
      <c r="I56" s="96">
        <f t="shared" si="12"/>
        <v>5670</v>
      </c>
      <c r="J56" s="241">
        <f t="shared" si="10"/>
        <v>1000</v>
      </c>
      <c r="K56" s="241"/>
      <c r="L56" s="322">
        <f t="shared" si="8"/>
        <v>4670</v>
      </c>
      <c r="M56" s="139">
        <f t="shared" si="13"/>
        <v>1300</v>
      </c>
      <c r="N56" s="99">
        <f t="shared" si="1"/>
        <v>174</v>
      </c>
      <c r="O56" s="213">
        <f t="shared" si="14"/>
        <v>3.8701067615658363E-2</v>
      </c>
      <c r="P56" s="95"/>
      <c r="Q56" s="231">
        <v>5036</v>
      </c>
      <c r="R56" s="241">
        <v>540</v>
      </c>
      <c r="S56" s="232">
        <v>4496</v>
      </c>
      <c r="T56" s="294">
        <v>1249</v>
      </c>
      <c r="V56" s="212"/>
      <c r="W56" s="97"/>
      <c r="X56" s="98"/>
    </row>
    <row r="57" spans="1:24" s="93" customFormat="1" ht="15" customHeight="1" thickBot="1">
      <c r="A57" s="144">
        <v>49</v>
      </c>
      <c r="B57" s="93" t="s">
        <v>181</v>
      </c>
      <c r="C57" s="267">
        <v>15442</v>
      </c>
      <c r="D57" s="206">
        <f t="shared" si="2"/>
        <v>1.0552405657379612E-2</v>
      </c>
      <c r="E57" s="255">
        <v>26719</v>
      </c>
      <c r="F57" s="206">
        <f t="shared" si="3"/>
        <v>6.895793485966974E-3</v>
      </c>
      <c r="G57" s="207">
        <f t="shared" si="4"/>
        <v>42161</v>
      </c>
      <c r="H57" s="208">
        <f t="shared" si="5"/>
        <v>7.8982114047767317E-3</v>
      </c>
      <c r="I57" s="96">
        <f t="shared" si="12"/>
        <v>6687</v>
      </c>
      <c r="J57" s="241">
        <f t="shared" si="10"/>
        <v>1000</v>
      </c>
      <c r="K57" s="241"/>
      <c r="L57" s="322">
        <f t="shared" si="8"/>
        <v>5687</v>
      </c>
      <c r="M57" s="139">
        <f t="shared" si="13"/>
        <v>1534</v>
      </c>
      <c r="N57" s="99">
        <f t="shared" si="1"/>
        <v>269</v>
      </c>
      <c r="O57" s="213">
        <f t="shared" si="14"/>
        <v>4.9649317091177557E-2</v>
      </c>
      <c r="P57" s="95"/>
      <c r="Q57" s="231">
        <v>5958</v>
      </c>
      <c r="R57" s="241">
        <v>540</v>
      </c>
      <c r="S57" s="232">
        <v>5418</v>
      </c>
      <c r="T57" s="294">
        <v>1477</v>
      </c>
      <c r="V57" s="212"/>
      <c r="W57" s="97"/>
      <c r="X57" s="98"/>
    </row>
    <row r="58" spans="1:24" s="89" customFormat="1" ht="19.5" customHeight="1" thickBot="1">
      <c r="B58" s="100" t="s">
        <v>237</v>
      </c>
      <c r="C58" s="101">
        <f t="shared" ref="C58:H58" si="15">SUM(C9:C57)</f>
        <v>1463363</v>
      </c>
      <c r="D58" s="102">
        <f t="shared" si="15"/>
        <v>1.0000000000000002</v>
      </c>
      <c r="E58" s="101">
        <f t="shared" si="15"/>
        <v>3874681</v>
      </c>
      <c r="F58" s="102">
        <f t="shared" si="15"/>
        <v>1</v>
      </c>
      <c r="G58" s="101">
        <f t="shared" si="15"/>
        <v>5338044</v>
      </c>
      <c r="H58" s="102">
        <f t="shared" si="15"/>
        <v>1.0000000000000002</v>
      </c>
      <c r="I58" s="103">
        <f t="shared" ref="I58:N58" si="16">SUM(I9:I57)</f>
        <v>846632</v>
      </c>
      <c r="J58" s="104">
        <f t="shared" si="16"/>
        <v>49000</v>
      </c>
      <c r="K58" s="104">
        <f t="shared" si="16"/>
        <v>20000</v>
      </c>
      <c r="L58" s="165">
        <f t="shared" si="16"/>
        <v>777631.99999999988</v>
      </c>
      <c r="M58" s="141">
        <f t="shared" si="16"/>
        <v>194166</v>
      </c>
      <c r="N58" s="104">
        <f t="shared" si="16"/>
        <v>45891.999999999985</v>
      </c>
      <c r="O58" s="105">
        <f t="shared" si="14"/>
        <v>6.2716265340147986E-2</v>
      </c>
      <c r="Q58" s="182">
        <f>SUM(Q9:Q57)</f>
        <v>758200</v>
      </c>
      <c r="R58" s="106">
        <f>SUM(R9:R57)</f>
        <v>26460</v>
      </c>
      <c r="S58" s="106">
        <f>SUM(S9:S57)</f>
        <v>731740</v>
      </c>
      <c r="T58" s="183">
        <f>SUM(T9:T57)</f>
        <v>187994</v>
      </c>
    </row>
    <row r="59" spans="1:24">
      <c r="I59" s="107"/>
      <c r="J59" s="108"/>
      <c r="K59" s="108"/>
      <c r="L59" s="108"/>
      <c r="M59" s="108"/>
      <c r="N59" s="108"/>
      <c r="O59" s="109"/>
      <c r="Q59" s="110"/>
      <c r="R59" s="111"/>
      <c r="S59" s="111"/>
      <c r="T59" s="112"/>
    </row>
    <row r="60" spans="1:24" ht="13.5" thickBot="1">
      <c r="C60" s="113"/>
      <c r="D60" s="113"/>
      <c r="E60" s="113"/>
      <c r="F60" s="113"/>
      <c r="G60" s="113"/>
      <c r="H60" s="114"/>
      <c r="I60" s="117"/>
      <c r="J60" s="118"/>
      <c r="K60" s="118"/>
      <c r="L60" s="119"/>
      <c r="M60" s="119"/>
      <c r="N60" s="119"/>
      <c r="O60" s="120"/>
      <c r="Q60" s="121"/>
      <c r="R60" s="122"/>
      <c r="S60" s="181"/>
      <c r="T60" s="120"/>
    </row>
    <row r="61" spans="1:24">
      <c r="C61" s="115"/>
      <c r="D61" s="115"/>
      <c r="E61" s="115"/>
      <c r="F61" s="115"/>
      <c r="G61" s="115"/>
      <c r="H61" s="116"/>
    </row>
    <row r="62" spans="1:24">
      <c r="I62" s="111"/>
      <c r="J62" s="111"/>
      <c r="K62" s="111"/>
      <c r="L62" s="111"/>
      <c r="M62" s="111"/>
      <c r="N62" s="111"/>
      <c r="O62" s="111"/>
    </row>
    <row r="63" spans="1:24">
      <c r="G63" s="123"/>
    </row>
    <row r="64" spans="1:24">
      <c r="B64" s="84" t="s">
        <v>379</v>
      </c>
    </row>
    <row r="65" spans="2:8" ht="19.5" customHeight="1">
      <c r="B65" s="315" t="s">
        <v>168</v>
      </c>
      <c r="G65" s="318">
        <f>G28</f>
        <v>985034</v>
      </c>
      <c r="H65" s="321">
        <f>G65/$G$68</f>
        <v>0.58024547365246326</v>
      </c>
    </row>
    <row r="66" spans="2:8">
      <c r="B66" s="315" t="s">
        <v>167</v>
      </c>
      <c r="G66" s="318">
        <f>G22</f>
        <v>344906</v>
      </c>
      <c r="H66" s="321">
        <f t="shared" ref="H66:H67" si="17">G66/$G$68</f>
        <v>0.20317079952121092</v>
      </c>
    </row>
    <row r="67" spans="2:8" ht="13.5" thickBot="1">
      <c r="B67" s="315" t="s">
        <v>178</v>
      </c>
      <c r="G67" s="318">
        <f>G49</f>
        <v>367676</v>
      </c>
      <c r="H67" s="321">
        <f t="shared" si="17"/>
        <v>0.21658372682632587</v>
      </c>
    </row>
    <row r="68" spans="2:8" ht="21" customHeight="1" thickBot="1">
      <c r="B68" s="315" t="s">
        <v>159</v>
      </c>
      <c r="G68" s="319">
        <f>SUM(G65:G67)</f>
        <v>1697616</v>
      </c>
      <c r="H68" s="320">
        <f>SUM(H65:H67)</f>
        <v>1</v>
      </c>
    </row>
  </sheetData>
  <mergeCells count="3">
    <mergeCell ref="I6:O6"/>
    <mergeCell ref="I7:O7"/>
    <mergeCell ref="Q7:T7"/>
  </mergeCells>
  <phoneticPr fontId="9" type="noConversion"/>
  <printOptions horizontalCentered="1" gridLines="1"/>
  <pageMargins left="0.19" right="0.24" top="0.52" bottom="0.41" header="0.23" footer="0.17"/>
  <pageSetup scale="69" orientation="landscape" r:id="rId1"/>
  <headerFooter>
    <oddHeader>&amp;C2021 Approved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>
      <selection activeCell="C1" sqref="C1"/>
    </sheetView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49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238</v>
      </c>
      <c r="B1" s="21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239</v>
      </c>
      <c r="B2" s="21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v>44029</v>
      </c>
      <c r="B3" s="21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13"/>
      <c r="D5" s="313"/>
      <c r="E5" s="313"/>
      <c r="F5" s="313"/>
      <c r="G5" s="185"/>
      <c r="H5" s="185"/>
      <c r="I5" s="313"/>
      <c r="J5" s="313"/>
      <c r="K5" s="34"/>
      <c r="L5" s="34"/>
      <c r="M5" s="34"/>
      <c r="N5" s="34"/>
      <c r="O5" s="29"/>
    </row>
    <row r="6" spans="1:20" ht="36" customHeight="1" thickBot="1">
      <c r="A6" s="29"/>
      <c r="B6" s="35" t="s">
        <v>240</v>
      </c>
      <c r="C6" s="36" t="s">
        <v>241</v>
      </c>
      <c r="D6" s="37">
        <v>2001</v>
      </c>
      <c r="E6" s="37">
        <v>2002</v>
      </c>
      <c r="F6" s="37">
        <v>2003</v>
      </c>
      <c r="G6" s="38" t="s">
        <v>242</v>
      </c>
      <c r="H6" s="38" t="s">
        <v>243</v>
      </c>
      <c r="I6" s="37">
        <v>2004</v>
      </c>
      <c r="J6" s="37" t="s">
        <v>244</v>
      </c>
      <c r="K6" s="39">
        <v>2011</v>
      </c>
      <c r="L6" s="39">
        <v>2012</v>
      </c>
      <c r="M6" s="39" t="s">
        <v>245</v>
      </c>
      <c r="N6" s="35" t="s">
        <v>359</v>
      </c>
      <c r="O6" s="40" t="s">
        <v>305</v>
      </c>
      <c r="P6" s="185"/>
      <c r="Q6" s="185"/>
      <c r="R6" s="185"/>
      <c r="S6" s="185"/>
      <c r="T6" s="41"/>
    </row>
    <row r="7" spans="1:20">
      <c r="A7" s="42" t="s">
        <v>246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247</v>
      </c>
      <c r="B8" s="43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>
        <v>24000</v>
      </c>
      <c r="N8" s="243"/>
      <c r="O8" s="46">
        <f>SUM(C8:N8)</f>
        <v>24000</v>
      </c>
      <c r="P8" s="216"/>
      <c r="Q8" s="216"/>
      <c r="R8" s="216"/>
      <c r="S8" s="216"/>
      <c r="T8" s="44"/>
    </row>
    <row r="9" spans="1:20">
      <c r="A9" s="29" t="s">
        <v>248</v>
      </c>
      <c r="B9" s="217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18">
        <v>11000</v>
      </c>
      <c r="K9" s="134"/>
      <c r="L9" s="134"/>
      <c r="M9" s="134">
        <v>-65000</v>
      </c>
      <c r="N9" s="236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249</v>
      </c>
      <c r="B10" s="217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34"/>
      <c r="L10" s="134"/>
      <c r="M10" s="134">
        <v>-25000</v>
      </c>
      <c r="N10" s="236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34"/>
      <c r="L11" s="134"/>
      <c r="M11" s="134"/>
      <c r="N11" s="236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34"/>
      <c r="L12" s="134"/>
      <c r="M12" s="134"/>
      <c r="N12" s="236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34"/>
      <c r="L13" s="134"/>
      <c r="M13" s="134"/>
      <c r="N13" s="236"/>
      <c r="O13" s="29"/>
      <c r="P13" s="44"/>
      <c r="Q13" s="44"/>
      <c r="R13" s="44"/>
      <c r="S13" s="44"/>
      <c r="T13" s="44"/>
    </row>
    <row r="14" spans="1:20">
      <c r="A14" s="28" t="s">
        <v>250</v>
      </c>
      <c r="B14" s="33"/>
      <c r="C14" s="29"/>
      <c r="D14" s="29"/>
      <c r="E14" s="29"/>
      <c r="F14" s="29"/>
      <c r="G14" s="29"/>
      <c r="H14" s="29"/>
      <c r="I14" s="29"/>
      <c r="J14" s="29"/>
      <c r="K14" s="134"/>
      <c r="L14" s="134"/>
      <c r="M14" s="134"/>
      <c r="N14" s="236"/>
      <c r="O14" s="29"/>
      <c r="P14" s="44"/>
      <c r="Q14" s="44"/>
      <c r="R14" s="44"/>
      <c r="S14" s="44"/>
      <c r="T14" s="44"/>
    </row>
    <row r="15" spans="1:20">
      <c r="A15" s="29" t="s">
        <v>251</v>
      </c>
      <c r="B15" s="217">
        <v>260000</v>
      </c>
      <c r="C15" s="134">
        <f>$B$15/10</f>
        <v>26000</v>
      </c>
      <c r="D15" s="134">
        <f>$B$15/10</f>
        <v>26000</v>
      </c>
      <c r="E15" s="134">
        <f>$B$15/10</f>
        <v>26000</v>
      </c>
      <c r="F15" s="134">
        <f>$B$15/10</f>
        <v>26000</v>
      </c>
      <c r="G15" s="134"/>
      <c r="H15" s="134"/>
      <c r="I15" s="134">
        <v>26000</v>
      </c>
      <c r="J15" s="29">
        <v>0</v>
      </c>
      <c r="K15" s="134">
        <v>-19683</v>
      </c>
      <c r="L15" s="134">
        <v>-85292</v>
      </c>
      <c r="M15" s="134">
        <v>94975</v>
      </c>
      <c r="N15" s="236"/>
      <c r="O15" s="46">
        <f>SUM(C15:N15)</f>
        <v>120000</v>
      </c>
      <c r="P15" s="214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34"/>
      <c r="L16" s="134"/>
      <c r="M16" s="134"/>
      <c r="N16" s="236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34"/>
      <c r="L17" s="134"/>
      <c r="M17" s="134"/>
      <c r="N17" s="236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34"/>
      <c r="L18" s="134"/>
      <c r="M18" s="134"/>
      <c r="N18" s="236"/>
      <c r="O18" s="29"/>
      <c r="P18" s="44"/>
      <c r="Q18" s="44"/>
      <c r="R18" s="44"/>
      <c r="S18" s="44"/>
      <c r="T18" s="44"/>
    </row>
    <row r="19" spans="1:20">
      <c r="A19" s="28" t="s">
        <v>252</v>
      </c>
      <c r="B19" s="33"/>
      <c r="C19" s="29"/>
      <c r="D19" s="29"/>
      <c r="E19" s="29"/>
      <c r="F19" s="29"/>
      <c r="G19" s="29"/>
      <c r="H19" s="29"/>
      <c r="I19" s="29"/>
      <c r="J19" s="29"/>
      <c r="K19" s="134"/>
      <c r="L19" s="134"/>
      <c r="M19" s="134"/>
      <c r="N19" s="236"/>
      <c r="O19" s="29"/>
      <c r="P19" s="44"/>
      <c r="Q19" s="44"/>
      <c r="R19" s="44"/>
      <c r="S19" s="44"/>
      <c r="T19" s="44"/>
    </row>
    <row r="20" spans="1:20">
      <c r="A20" s="29" t="s">
        <v>253</v>
      </c>
      <c r="B20" s="217">
        <v>30000</v>
      </c>
      <c r="C20" s="134">
        <f>$B$20/4</f>
        <v>7500</v>
      </c>
      <c r="D20" s="134">
        <f>$B$20/4</f>
        <v>7500</v>
      </c>
      <c r="E20" s="134">
        <f>$B$20/4</f>
        <v>7500</v>
      </c>
      <c r="F20" s="134">
        <v>7500</v>
      </c>
      <c r="G20" s="134">
        <v>-21000</v>
      </c>
      <c r="H20" s="134">
        <v>21000</v>
      </c>
      <c r="I20" s="29"/>
      <c r="J20" s="29">
        <v>-5000</v>
      </c>
      <c r="K20" s="134"/>
      <c r="L20" s="134"/>
      <c r="M20" s="134"/>
      <c r="N20" s="236"/>
      <c r="O20" s="46">
        <f>SUM(C20:N20)</f>
        <v>25000</v>
      </c>
      <c r="P20" s="214"/>
      <c r="Q20" s="44"/>
      <c r="R20" s="44"/>
      <c r="S20" s="44"/>
      <c r="T20" s="47"/>
    </row>
    <row r="21" spans="1:20">
      <c r="A21" s="29" t="s">
        <v>254</v>
      </c>
      <c r="B21" s="217">
        <v>30000</v>
      </c>
      <c r="C21" s="134">
        <f>$B$21/4</f>
        <v>7500</v>
      </c>
      <c r="D21" s="134">
        <f>$B$21/4</f>
        <v>7500</v>
      </c>
      <c r="E21" s="134">
        <f>$B$21/4</f>
        <v>7500</v>
      </c>
      <c r="F21" s="134">
        <f>$B$21/4</f>
        <v>7500</v>
      </c>
      <c r="G21" s="134"/>
      <c r="H21" s="134"/>
      <c r="I21" s="29"/>
      <c r="J21" s="29"/>
      <c r="K21" s="134"/>
      <c r="L21" s="134"/>
      <c r="O21" s="46">
        <f>SUM(C21:N21)</f>
        <v>30000</v>
      </c>
      <c r="P21" s="214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34"/>
      <c r="L22" s="134"/>
      <c r="M22" s="134"/>
      <c r="N22" s="236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34"/>
      <c r="L23" s="134"/>
      <c r="M23" s="134"/>
      <c r="N23" s="236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34"/>
      <c r="L24" s="134"/>
      <c r="M24" s="134"/>
      <c r="N24" s="236"/>
      <c r="O24" s="29"/>
      <c r="P24" s="44"/>
      <c r="Q24" s="44"/>
      <c r="R24" s="44"/>
      <c r="S24" s="44"/>
      <c r="T24" s="44"/>
    </row>
    <row r="25" spans="1:20">
      <c r="A25" s="28" t="s">
        <v>255</v>
      </c>
      <c r="B25" s="219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34"/>
      <c r="L25" s="134"/>
      <c r="M25" s="134"/>
      <c r="N25" s="236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256</v>
      </c>
      <c r="B28" s="33"/>
      <c r="C28" s="220">
        <f t="shared" ref="C28:K28" si="0">SUM(C9:C27)</f>
        <v>67650</v>
      </c>
      <c r="D28" s="220">
        <f t="shared" si="0"/>
        <v>67650</v>
      </c>
      <c r="E28" s="220">
        <f t="shared" si="0"/>
        <v>67650</v>
      </c>
      <c r="F28" s="220">
        <f t="shared" si="0"/>
        <v>67650</v>
      </c>
      <c r="G28" s="220">
        <f t="shared" si="0"/>
        <v>-39507</v>
      </c>
      <c r="H28" s="220">
        <f t="shared" si="0"/>
        <v>39507</v>
      </c>
      <c r="I28" s="220">
        <f t="shared" si="0"/>
        <v>29400</v>
      </c>
      <c r="J28" s="220">
        <f t="shared" si="0"/>
        <v>0</v>
      </c>
      <c r="K28" s="220">
        <f t="shared" si="0"/>
        <v>-19683</v>
      </c>
      <c r="L28" s="220">
        <f>SUM(L9:L27)</f>
        <v>-85292</v>
      </c>
      <c r="M28" s="220">
        <f>SUM(M8:M27)</f>
        <v>28975</v>
      </c>
      <c r="N28" s="244">
        <f>SUM(N8:N27)</f>
        <v>0</v>
      </c>
      <c r="O28" s="220">
        <f>SUM(O8:O27)</f>
        <v>224000</v>
      </c>
      <c r="P28" s="216"/>
      <c r="Q28" s="216"/>
      <c r="R28" s="216"/>
      <c r="S28" s="216"/>
      <c r="T28" s="216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257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25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&amp;C&amp;K0000002021 Approved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2021 Approved budget</vt:lpstr>
      <vt:lpstr>Carryover</vt:lpstr>
      <vt:lpstr>2021 Cost to Libs</vt:lpstr>
      <vt:lpstr>MORE Approved Formula w'19 Data</vt:lpstr>
      <vt:lpstr>Reserves</vt:lpstr>
      <vt:lpstr>'2021 Approved budget'!Print_Area</vt:lpstr>
      <vt:lpstr>Carryover!Print_Area</vt:lpstr>
      <vt:lpstr>'MORE Approved Formula w''19 Data'!Print_Area</vt:lpstr>
      <vt:lpstr>'2021 Approved budget'!Print_Titles</vt:lpstr>
      <vt:lpstr>'2021 Cost to Libs'!Print_Titles</vt:lpstr>
      <vt:lpstr>'MORE Approved Formula w''19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jbutton</cp:lastModifiedBy>
  <cp:lastPrinted>2020-07-20T17:23:44Z</cp:lastPrinted>
  <dcterms:created xsi:type="dcterms:W3CDTF">2001-03-30T14:44:35Z</dcterms:created>
  <dcterms:modified xsi:type="dcterms:W3CDTF">2020-07-20T17:50:50Z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