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lt\Desktop\VOLUME5\Administrata\2021 MORE Budget Planning\"/>
    </mc:Choice>
  </mc:AlternateContent>
  <xr:revisionPtr revIDLastSave="0" documentId="8_{76C8242A-C1AD-4E6A-89B4-8C4271440BC3}" xr6:coauthVersionLast="45" xr6:coauthVersionMax="45" xr10:uidLastSave="{00000000-0000-0000-0000-000000000000}"/>
  <bookViews>
    <workbookView xWindow="-120" yWindow="-120" windowWidth="24240" windowHeight="13740" tabRatio="595" xr2:uid="{00000000-000D-0000-FFFF-FFFF00000000}"/>
  </bookViews>
  <sheets>
    <sheet name="2021 Recommended budget" sheetId="18" r:id="rId1"/>
    <sheet name="Carryover" sheetId="22" r:id="rId2"/>
    <sheet name="2021 Cost to Libs" sheetId="20" r:id="rId3"/>
    <sheet name="MORE Approved Formula w'19 Data" sheetId="21" r:id="rId4"/>
    <sheet name="Reserves" sheetId="19" r:id="rId5"/>
  </sheets>
  <externalReferences>
    <externalReference r:id="rId6"/>
  </externalReferences>
  <definedNames>
    <definedName name="_xlnm.Print_Area" localSheetId="0">'2021 Recommended budget'!$A$1:$I$52</definedName>
    <definedName name="_xlnm.Print_Area" localSheetId="1">Carryover!$A$5:$G$139</definedName>
    <definedName name="_xlnm.Print_Area" localSheetId="3">'MORE Approved Formula w''19 Data'!$A$1:$S$58</definedName>
    <definedName name="_xlnm.Print_Titles" localSheetId="2">'2021 Cost to Libs'!$9:$9</definedName>
    <definedName name="_xlnm.Print_Titles" localSheetId="0">'2021 Recommended budget'!$5:$6</definedName>
    <definedName name="_xlnm.Print_Titles" localSheetId="3">'MORE Approved Formula w''19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0" l="1"/>
  <c r="C128" i="22"/>
  <c r="C123" i="22"/>
  <c r="D76" i="20" l="1"/>
  <c r="F92" i="20" l="1"/>
  <c r="D83" i="20" l="1"/>
  <c r="D78" i="20" l="1"/>
  <c r="D5" i="21" l="1"/>
  <c r="E47" i="18" l="1"/>
  <c r="D79" i="20" l="1"/>
  <c r="D80" i="20"/>
  <c r="D81" i="20"/>
  <c r="D82" i="20"/>
  <c r="D84" i="20"/>
  <c r="D85" i="20"/>
  <c r="D86" i="20"/>
  <c r="D87" i="20"/>
  <c r="D88" i="20"/>
  <c r="D89" i="20"/>
  <c r="D90" i="20"/>
  <c r="D91" i="20"/>
  <c r="D77" i="20"/>
  <c r="D72" i="20"/>
  <c r="D73" i="20"/>
  <c r="D74" i="20"/>
  <c r="D71" i="20"/>
  <c r="D70" i="20"/>
  <c r="F39" i="18" l="1"/>
  <c r="F38" i="18"/>
  <c r="F37" i="18"/>
  <c r="F36" i="18"/>
  <c r="F35" i="18"/>
  <c r="F33" i="18"/>
  <c r="F32" i="18"/>
  <c r="F31" i="18"/>
  <c r="F29" i="18"/>
  <c r="F28" i="18"/>
  <c r="F26" i="18"/>
  <c r="F25" i="18"/>
  <c r="F13" i="18"/>
  <c r="F14" i="18"/>
  <c r="F15" i="18"/>
  <c r="F16" i="18"/>
  <c r="F17" i="18"/>
  <c r="F18" i="18"/>
  <c r="F19" i="18"/>
  <c r="F20" i="18"/>
  <c r="F21" i="18"/>
  <c r="F22" i="18"/>
  <c r="F23" i="18"/>
  <c r="F12" i="18"/>
  <c r="F10" i="18"/>
  <c r="F9" i="18"/>
  <c r="H47" i="18" l="1"/>
  <c r="D47" i="18"/>
  <c r="C5" i="21" l="1"/>
  <c r="H40" i="18"/>
  <c r="F5" i="21" s="1"/>
  <c r="D40" i="18"/>
  <c r="F108" i="22" l="1"/>
  <c r="F45" i="18" l="1"/>
  <c r="F47" i="18" s="1"/>
  <c r="F40" i="18"/>
  <c r="C58" i="21" l="1"/>
  <c r="E7" i="20" l="1"/>
  <c r="D5" i="20" l="1"/>
  <c r="G10" i="21" l="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9" i="21"/>
  <c r="G38" i="21"/>
  <c r="C89" i="22" l="1"/>
  <c r="D92" i="20" l="1"/>
  <c r="N28" i="19" l="1"/>
  <c r="C86" i="22" l="1"/>
  <c r="M28" i="19"/>
  <c r="O8" i="19"/>
  <c r="C20" i="22"/>
  <c r="C28" i="22" s="1"/>
  <c r="C29" i="22"/>
  <c r="C38" i="22"/>
  <c r="C39" i="22"/>
  <c r="C44" i="22"/>
  <c r="C75" i="22"/>
  <c r="S58" i="21"/>
  <c r="R58" i="21"/>
  <c r="Q58" i="21"/>
  <c r="P58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G58" i="21"/>
  <c r="H13" i="20"/>
  <c r="E58" i="21"/>
  <c r="F10" i="21" l="1"/>
  <c r="F14" i="21"/>
  <c r="F18" i="21"/>
  <c r="F22" i="21"/>
  <c r="F26" i="21"/>
  <c r="F30" i="21"/>
  <c r="F34" i="21"/>
  <c r="F38" i="21"/>
  <c r="F42" i="21"/>
  <c r="F46" i="21"/>
  <c r="F50" i="21"/>
  <c r="F54" i="21"/>
  <c r="F9" i="21"/>
  <c r="F15" i="21"/>
  <c r="F27" i="21"/>
  <c r="F35" i="21"/>
  <c r="F47" i="21"/>
  <c r="F55" i="21"/>
  <c r="F16" i="21"/>
  <c r="F24" i="21"/>
  <c r="F28" i="21"/>
  <c r="F36" i="21"/>
  <c r="F44" i="21"/>
  <c r="F52" i="21"/>
  <c r="F13" i="21"/>
  <c r="F17" i="21"/>
  <c r="F21" i="21"/>
  <c r="F25" i="21"/>
  <c r="F29" i="21"/>
  <c r="F33" i="21"/>
  <c r="F37" i="21"/>
  <c r="F41" i="21"/>
  <c r="F45" i="21"/>
  <c r="F49" i="21"/>
  <c r="F53" i="21"/>
  <c r="F57" i="21"/>
  <c r="F11" i="21"/>
  <c r="F19" i="21"/>
  <c r="F23" i="21"/>
  <c r="F31" i="21"/>
  <c r="F39" i="21"/>
  <c r="F43" i="21"/>
  <c r="F51" i="21"/>
  <c r="F12" i="21"/>
  <c r="F20" i="21"/>
  <c r="F32" i="21"/>
  <c r="F40" i="21"/>
  <c r="F48" i="21"/>
  <c r="F56" i="21"/>
  <c r="D12" i="21"/>
  <c r="D16" i="21"/>
  <c r="D20" i="21"/>
  <c r="D24" i="21"/>
  <c r="D28" i="21"/>
  <c r="D32" i="21"/>
  <c r="D36" i="21"/>
  <c r="D40" i="21"/>
  <c r="D44" i="21"/>
  <c r="D48" i="21"/>
  <c r="D52" i="21"/>
  <c r="D56" i="21"/>
  <c r="D15" i="21"/>
  <c r="D27" i="21"/>
  <c r="D39" i="21"/>
  <c r="D51" i="21"/>
  <c r="D13" i="21"/>
  <c r="D17" i="21"/>
  <c r="D21" i="21"/>
  <c r="D25" i="21"/>
  <c r="D29" i="21"/>
  <c r="D33" i="21"/>
  <c r="D37" i="21"/>
  <c r="D41" i="21"/>
  <c r="D45" i="21"/>
  <c r="D49" i="21"/>
  <c r="D53" i="21"/>
  <c r="D57" i="21"/>
  <c r="D19" i="21"/>
  <c r="D31" i="21"/>
  <c r="D43" i="21"/>
  <c r="D55" i="21"/>
  <c r="D10" i="21"/>
  <c r="D14" i="21"/>
  <c r="D18" i="21"/>
  <c r="D22" i="21"/>
  <c r="D26" i="21"/>
  <c r="D30" i="21"/>
  <c r="D34" i="21"/>
  <c r="D38" i="21"/>
  <c r="D42" i="21"/>
  <c r="D46" i="21"/>
  <c r="D50" i="21"/>
  <c r="D54" i="21"/>
  <c r="D9" i="21"/>
  <c r="D11" i="21"/>
  <c r="D23" i="21"/>
  <c r="D35" i="21"/>
  <c r="D47" i="21"/>
  <c r="H54" i="21"/>
  <c r="D37" i="20" s="1"/>
  <c r="H37" i="20" s="1"/>
  <c r="H57" i="21"/>
  <c r="D29" i="20" s="1"/>
  <c r="H29" i="20" s="1"/>
  <c r="H41" i="21"/>
  <c r="D60" i="20" s="1"/>
  <c r="H24" i="21"/>
  <c r="D31" i="20" s="1"/>
  <c r="H31" i="20" s="1"/>
  <c r="H50" i="21"/>
  <c r="D39" i="20" s="1"/>
  <c r="H39" i="20" s="1"/>
  <c r="H56" i="21"/>
  <c r="D56" i="20" s="1"/>
  <c r="H56" i="20" s="1"/>
  <c r="H40" i="21"/>
  <c r="D22" i="20" s="1"/>
  <c r="H22" i="20" s="1"/>
  <c r="H23" i="21"/>
  <c r="D32" i="20" s="1"/>
  <c r="H32" i="20" s="1"/>
  <c r="H9" i="21"/>
  <c r="D10" i="20" s="1"/>
  <c r="H38" i="21"/>
  <c r="D35" i="20" s="1"/>
  <c r="H35" i="20" s="1"/>
  <c r="H43" i="21"/>
  <c r="D24" i="20" s="1"/>
  <c r="H24" i="20" s="1"/>
  <c r="H26" i="21"/>
  <c r="D14" i="20" s="1"/>
  <c r="H14" i="20" s="1"/>
  <c r="H10" i="21"/>
  <c r="D59" i="20" s="1"/>
  <c r="H59" i="20" s="1"/>
  <c r="H33" i="21"/>
  <c r="D17" i="20" s="1"/>
  <c r="H17" i="20" s="1"/>
  <c r="H18" i="21"/>
  <c r="D47" i="20" s="1"/>
  <c r="H47" i="20" s="1"/>
  <c r="H45" i="21"/>
  <c r="D49" i="20" s="1"/>
  <c r="H49" i="20" s="1"/>
  <c r="H17" i="21"/>
  <c r="D52" i="20" s="1"/>
  <c r="H52" i="20" s="1"/>
  <c r="H21" i="21"/>
  <c r="D45" i="20" s="1"/>
  <c r="H45" i="20" s="1"/>
  <c r="H14" i="21"/>
  <c r="D51" i="20" s="1"/>
  <c r="H51" i="20" s="1"/>
  <c r="H42" i="21"/>
  <c r="D23" i="20" s="1"/>
  <c r="H23" i="20" s="1"/>
  <c r="H53" i="21"/>
  <c r="D41" i="20" s="1"/>
  <c r="H41" i="20" s="1"/>
  <c r="H36" i="21"/>
  <c r="D55" i="20" s="1"/>
  <c r="H55" i="20" s="1"/>
  <c r="H20" i="21"/>
  <c r="D33" i="20" s="1"/>
  <c r="H33" i="20" s="1"/>
  <c r="H37" i="21"/>
  <c r="D20" i="20" s="1"/>
  <c r="H20" i="20" s="1"/>
  <c r="H52" i="21"/>
  <c r="D28" i="20" s="1"/>
  <c r="H28" i="20" s="1"/>
  <c r="H35" i="21"/>
  <c r="D18" i="20" s="1"/>
  <c r="H18" i="20" s="1"/>
  <c r="H19" i="21"/>
  <c r="D53" i="20" s="1"/>
  <c r="H53" i="20" s="1"/>
  <c r="H46" i="21"/>
  <c r="D48" i="20" s="1"/>
  <c r="H48" i="20" s="1"/>
  <c r="H55" i="21"/>
  <c r="D50" i="20" s="1"/>
  <c r="H50" i="20" s="1"/>
  <c r="H39" i="21"/>
  <c r="D21" i="20" s="1"/>
  <c r="H21" i="20" s="1"/>
  <c r="H22" i="21"/>
  <c r="D38" i="20" s="1"/>
  <c r="H38" i="20" s="1"/>
  <c r="H15" i="21"/>
  <c r="D58" i="20" s="1"/>
  <c r="H58" i="20" s="1"/>
  <c r="H34" i="21"/>
  <c r="D43" i="20" s="1"/>
  <c r="H43" i="20" s="1"/>
  <c r="H13" i="21"/>
  <c r="D12" i="20" s="1"/>
  <c r="H12" i="20" s="1"/>
  <c r="H12" i="21"/>
  <c r="D11" i="20" s="1"/>
  <c r="H11" i="20" s="1"/>
  <c r="H27" i="21"/>
  <c r="D15" i="20" s="1"/>
  <c r="H15" i="20" s="1"/>
  <c r="H47" i="21"/>
  <c r="D26" i="20" s="1"/>
  <c r="H26" i="20" s="1"/>
  <c r="H29" i="21"/>
  <c r="D16" i="20" s="1"/>
  <c r="H16" i="20" s="1"/>
  <c r="H49" i="21"/>
  <c r="D27" i="20" s="1"/>
  <c r="H27" i="20" s="1"/>
  <c r="H32" i="21"/>
  <c r="D34" i="20" s="1"/>
  <c r="H34" i="20" s="1"/>
  <c r="H16" i="21"/>
  <c r="D30" i="20" s="1"/>
  <c r="H30" i="20" s="1"/>
  <c r="H25" i="21"/>
  <c r="D54" i="20" s="1"/>
  <c r="H54" i="20" s="1"/>
  <c r="H48" i="21"/>
  <c r="D44" i="20" s="1"/>
  <c r="H44" i="20" s="1"/>
  <c r="H31" i="21"/>
  <c r="D40" i="20" s="1"/>
  <c r="H40" i="20" s="1"/>
  <c r="H51" i="21"/>
  <c r="D57" i="20" s="1"/>
  <c r="H57" i="20" s="1"/>
  <c r="H28" i="21"/>
  <c r="D19" i="20" s="1"/>
  <c r="H19" i="20" s="1"/>
  <c r="H44" i="21"/>
  <c r="D36" i="20" s="1"/>
  <c r="H36" i="20" s="1"/>
  <c r="H11" i="21"/>
  <c r="D46" i="20" s="1"/>
  <c r="H46" i="20" s="1"/>
  <c r="H30" i="21"/>
  <c r="D42" i="20" s="1"/>
  <c r="H42" i="20" s="1"/>
  <c r="E20" i="22"/>
  <c r="F25" i="19"/>
  <c r="F28" i="19" s="1"/>
  <c r="O10" i="19"/>
  <c r="O20" i="19"/>
  <c r="E25" i="19"/>
  <c r="E28" i="19" s="1"/>
  <c r="O15" i="19"/>
  <c r="D25" i="19"/>
  <c r="D28" i="19" s="1"/>
  <c r="O21" i="19"/>
  <c r="O9" i="19"/>
  <c r="E5" i="21"/>
  <c r="H25" i="20"/>
  <c r="C25" i="19"/>
  <c r="I8" i="20"/>
  <c r="E28" i="22"/>
  <c r="C43" i="22"/>
  <c r="L52" i="21" l="1"/>
  <c r="L10" i="21"/>
  <c r="I57" i="20"/>
  <c r="L9" i="21"/>
  <c r="L16" i="21"/>
  <c r="D58" i="21"/>
  <c r="L47" i="21"/>
  <c r="L51" i="21"/>
  <c r="L54" i="21"/>
  <c r="L17" i="21"/>
  <c r="L34" i="21"/>
  <c r="L30" i="21"/>
  <c r="L55" i="21"/>
  <c r="L50" i="21"/>
  <c r="L53" i="21"/>
  <c r="L37" i="21"/>
  <c r="L46" i="21"/>
  <c r="L32" i="21"/>
  <c r="L56" i="21"/>
  <c r="L23" i="21"/>
  <c r="L12" i="21"/>
  <c r="L15" i="21"/>
  <c r="L24" i="21"/>
  <c r="L42" i="21"/>
  <c r="L11" i="21"/>
  <c r="L45" i="21"/>
  <c r="L25" i="21"/>
  <c r="L29" i="21"/>
  <c r="L21" i="21"/>
  <c r="L28" i="21"/>
  <c r="L39" i="21"/>
  <c r="L36" i="21"/>
  <c r="L33" i="21"/>
  <c r="L57" i="21"/>
  <c r="L48" i="21"/>
  <c r="L13" i="21"/>
  <c r="L38" i="21"/>
  <c r="L20" i="21"/>
  <c r="L19" i="21"/>
  <c r="L22" i="21"/>
  <c r="L40" i="21"/>
  <c r="L49" i="21"/>
  <c r="L41" i="21"/>
  <c r="L44" i="21"/>
  <c r="L43" i="21"/>
  <c r="L14" i="21"/>
  <c r="I16" i="21"/>
  <c r="J16" i="21" s="1"/>
  <c r="K16" i="21" s="1"/>
  <c r="I9" i="21"/>
  <c r="J9" i="21" s="1"/>
  <c r="K9" i="21" s="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I28" i="21"/>
  <c r="J28" i="21" s="1"/>
  <c r="K28" i="21" s="1"/>
  <c r="I21" i="21"/>
  <c r="J21" i="21" s="1"/>
  <c r="K21" i="21" s="1"/>
  <c r="I42" i="21"/>
  <c r="J42" i="21" s="1"/>
  <c r="K42" i="21" s="1"/>
  <c r="I49" i="21"/>
  <c r="J49" i="21" s="1"/>
  <c r="K49" i="21" s="1"/>
  <c r="I27" i="21"/>
  <c r="J27" i="21" s="1"/>
  <c r="K27" i="21" s="1"/>
  <c r="I32" i="21"/>
  <c r="J32" i="21" s="1"/>
  <c r="K32" i="21" s="1"/>
  <c r="I47" i="21"/>
  <c r="J47" i="21" s="1"/>
  <c r="K47" i="21" s="1"/>
  <c r="I22" i="21"/>
  <c r="J22" i="21" s="1"/>
  <c r="K22" i="21" s="1"/>
  <c r="I35" i="21"/>
  <c r="J35" i="21" s="1"/>
  <c r="K35" i="21" s="1"/>
  <c r="I53" i="21"/>
  <c r="J53" i="21" s="1"/>
  <c r="K53" i="21" s="1"/>
  <c r="I55" i="21"/>
  <c r="J55" i="21" s="1"/>
  <c r="K55" i="21" s="1"/>
  <c r="I46" i="21"/>
  <c r="J46" i="21" s="1"/>
  <c r="K46" i="21" s="1"/>
  <c r="I57" i="21"/>
  <c r="J57" i="21" s="1"/>
  <c r="K57" i="21" s="1"/>
  <c r="I40" i="21"/>
  <c r="J40" i="21" s="1"/>
  <c r="K40" i="21" s="1"/>
  <c r="I31" i="21"/>
  <c r="J31" i="21" s="1"/>
  <c r="K31" i="21" s="1"/>
  <c r="I52" i="21"/>
  <c r="J52" i="21" s="1"/>
  <c r="K52" i="21" s="1"/>
  <c r="I10" i="21"/>
  <c r="J10" i="21" s="1"/>
  <c r="K10" i="21" s="1"/>
  <c r="I12" i="21"/>
  <c r="J12" i="21" s="1"/>
  <c r="K12" i="21" s="1"/>
  <c r="I29" i="21"/>
  <c r="J29" i="21" s="1"/>
  <c r="K29" i="21" s="1"/>
  <c r="I25" i="21"/>
  <c r="J25" i="21" s="1"/>
  <c r="K25" i="21" s="1"/>
  <c r="I51" i="21"/>
  <c r="J51" i="21" s="1"/>
  <c r="K51" i="21" s="1"/>
  <c r="I43" i="21"/>
  <c r="J43" i="21" s="1"/>
  <c r="K43" i="21" s="1"/>
  <c r="I20" i="21"/>
  <c r="J20" i="21" s="1"/>
  <c r="K20" i="21" s="1"/>
  <c r="I17" i="21"/>
  <c r="J17" i="21" s="1"/>
  <c r="K17" i="21" s="1"/>
  <c r="I37" i="21"/>
  <c r="J37" i="21" s="1"/>
  <c r="K37" i="21" s="1"/>
  <c r="I19" i="21"/>
  <c r="J19" i="21" s="1"/>
  <c r="K19" i="21" s="1"/>
  <c r="I13" i="21"/>
  <c r="J13" i="21" s="1"/>
  <c r="K13" i="21" s="1"/>
  <c r="I36" i="21"/>
  <c r="J36" i="21" s="1"/>
  <c r="K36" i="21" s="1"/>
  <c r="I14" i="21"/>
  <c r="J14" i="21" s="1"/>
  <c r="K14" i="21" s="1"/>
  <c r="I48" i="21"/>
  <c r="J48" i="21" s="1"/>
  <c r="K48" i="21" s="1"/>
  <c r="I45" i="21"/>
  <c r="J45" i="21" s="1"/>
  <c r="K45" i="21" s="1"/>
  <c r="I11" i="21"/>
  <c r="J11" i="21" s="1"/>
  <c r="K11" i="21" s="1"/>
  <c r="I38" i="21"/>
  <c r="J38" i="21" s="1"/>
  <c r="K38" i="21" s="1"/>
  <c r="I44" i="21"/>
  <c r="J44" i="21" s="1"/>
  <c r="K44" i="21" s="1"/>
  <c r="I39" i="21"/>
  <c r="J39" i="21" s="1"/>
  <c r="K39" i="21" s="1"/>
  <c r="I24" i="21"/>
  <c r="J24" i="21" s="1"/>
  <c r="K24" i="21" s="1"/>
  <c r="I54" i="21"/>
  <c r="J54" i="21" s="1"/>
  <c r="K54" i="21" s="1"/>
  <c r="I33" i="21"/>
  <c r="J33" i="21" s="1"/>
  <c r="K33" i="21" s="1"/>
  <c r="I18" i="21"/>
  <c r="J18" i="21" s="1"/>
  <c r="K18" i="21" s="1"/>
  <c r="I15" i="21"/>
  <c r="J15" i="21" s="1"/>
  <c r="K15" i="21" s="1"/>
  <c r="I30" i="21"/>
  <c r="J30" i="21" s="1"/>
  <c r="K30" i="21" s="1"/>
  <c r="D6" i="20"/>
  <c r="E18" i="20" s="1"/>
  <c r="F18" i="20" s="1"/>
  <c r="G18" i="20" s="1"/>
  <c r="F58" i="21"/>
  <c r="I56" i="21"/>
  <c r="J56" i="21" s="1"/>
  <c r="K56" i="21" s="1"/>
  <c r="I26" i="21"/>
  <c r="J26" i="21" s="1"/>
  <c r="K26" i="21" s="1"/>
  <c r="I41" i="21"/>
  <c r="J41" i="21" s="1"/>
  <c r="K41" i="21" s="1"/>
  <c r="I34" i="21"/>
  <c r="J34" i="21" s="1"/>
  <c r="K34" i="21" s="1"/>
  <c r="I50" i="21"/>
  <c r="J50" i="21" s="1"/>
  <c r="K50" i="21" s="1"/>
  <c r="I23" i="21"/>
  <c r="J23" i="21" s="1"/>
  <c r="K23" i="21" s="1"/>
  <c r="L35" i="21"/>
  <c r="L18" i="21"/>
  <c r="L31" i="21"/>
  <c r="L27" i="21"/>
  <c r="L26" i="21"/>
  <c r="H58" i="21"/>
  <c r="I18" i="20"/>
  <c r="I14" i="20"/>
  <c r="I16" i="20"/>
  <c r="I13" i="20"/>
  <c r="I47" i="20"/>
  <c r="I20" i="20"/>
  <c r="I32" i="20"/>
  <c r="I17" i="20"/>
  <c r="I42" i="20"/>
  <c r="I21" i="20"/>
  <c r="I58" i="20"/>
  <c r="I59" i="20"/>
  <c r="I45" i="20"/>
  <c r="I56" i="20"/>
  <c r="I19" i="20"/>
  <c r="I34" i="20"/>
  <c r="I44" i="20"/>
  <c r="I36" i="20"/>
  <c r="I10" i="20"/>
  <c r="I40" i="20"/>
  <c r="I29" i="20"/>
  <c r="I41" i="20"/>
  <c r="I55" i="20"/>
  <c r="I46" i="20"/>
  <c r="I24" i="20"/>
  <c r="I54" i="20"/>
  <c r="I31" i="20"/>
  <c r="I30" i="20"/>
  <c r="I49" i="20"/>
  <c r="I50" i="20"/>
  <c r="I33" i="20"/>
  <c r="I39" i="20"/>
  <c r="I53" i="20"/>
  <c r="I38" i="20"/>
  <c r="I25" i="20"/>
  <c r="I23" i="20"/>
  <c r="I15" i="20"/>
  <c r="I48" i="20"/>
  <c r="I37" i="20"/>
  <c r="I43" i="20"/>
  <c r="I35" i="20"/>
  <c r="I60" i="20"/>
  <c r="I26" i="20"/>
  <c r="I52" i="20"/>
  <c r="I12" i="20"/>
  <c r="I27" i="20"/>
  <c r="I51" i="20"/>
  <c r="I22" i="20"/>
  <c r="I11" i="20"/>
  <c r="I28" i="20"/>
  <c r="C54" i="22"/>
  <c r="E43" i="22"/>
  <c r="E22" i="20" l="1"/>
  <c r="F22" i="20" s="1"/>
  <c r="G22" i="20" s="1"/>
  <c r="J22" i="20" s="1"/>
  <c r="E24" i="20"/>
  <c r="F24" i="20" s="1"/>
  <c r="G24" i="20" s="1"/>
  <c r="J24" i="20" s="1"/>
  <c r="J8" i="20"/>
  <c r="E49" i="20"/>
  <c r="F49" i="20" s="1"/>
  <c r="G49" i="20" s="1"/>
  <c r="J49" i="20" s="1"/>
  <c r="E59" i="20"/>
  <c r="F59" i="20" s="1"/>
  <c r="G59" i="20" s="1"/>
  <c r="J59" i="20" s="1"/>
  <c r="E21" i="20"/>
  <c r="F21" i="20" s="1"/>
  <c r="G21" i="20" s="1"/>
  <c r="J21" i="20" s="1"/>
  <c r="I58" i="21"/>
  <c r="E50" i="20"/>
  <c r="F50" i="20" s="1"/>
  <c r="G50" i="20" s="1"/>
  <c r="J50" i="20" s="1"/>
  <c r="E55" i="20"/>
  <c r="F55" i="20" s="1"/>
  <c r="G55" i="20" s="1"/>
  <c r="J55" i="20" s="1"/>
  <c r="E42" i="20"/>
  <c r="F42" i="20" s="1"/>
  <c r="G42" i="20" s="1"/>
  <c r="J42" i="20" s="1"/>
  <c r="E37" i="20"/>
  <c r="F37" i="20" s="1"/>
  <c r="G37" i="20" s="1"/>
  <c r="J37" i="20" s="1"/>
  <c r="E10" i="20"/>
  <c r="F10" i="20" s="1"/>
  <c r="G10" i="20" s="1"/>
  <c r="J10" i="20" s="1"/>
  <c r="E36" i="20"/>
  <c r="F36" i="20" s="1"/>
  <c r="G36" i="20" s="1"/>
  <c r="J36" i="20" s="1"/>
  <c r="E43" i="20"/>
  <c r="F43" i="20" s="1"/>
  <c r="G43" i="20" s="1"/>
  <c r="J43" i="20" s="1"/>
  <c r="L58" i="21"/>
  <c r="E32" i="20"/>
  <c r="F32" i="20" s="1"/>
  <c r="G32" i="20" s="1"/>
  <c r="J32" i="20" s="1"/>
  <c r="E56" i="20"/>
  <c r="F56" i="20" s="1"/>
  <c r="G56" i="20" s="1"/>
  <c r="J56" i="20" s="1"/>
  <c r="E44" i="20"/>
  <c r="F44" i="20" s="1"/>
  <c r="G44" i="20" s="1"/>
  <c r="J44" i="20" s="1"/>
  <c r="E25" i="20"/>
  <c r="G25" i="20" s="1"/>
  <c r="J25" i="20" s="1"/>
  <c r="E41" i="20"/>
  <c r="F41" i="20" s="1"/>
  <c r="G41" i="20" s="1"/>
  <c r="J41" i="20" s="1"/>
  <c r="E20" i="20"/>
  <c r="F20" i="20" s="1"/>
  <c r="G20" i="20" s="1"/>
  <c r="J20" i="20" s="1"/>
  <c r="E51" i="20"/>
  <c r="F51" i="20" s="1"/>
  <c r="G51" i="20" s="1"/>
  <c r="J51" i="20" s="1"/>
  <c r="E13" i="20"/>
  <c r="G13" i="20" s="1"/>
  <c r="J13" i="20" s="1"/>
  <c r="E38" i="20"/>
  <c r="F38" i="20" s="1"/>
  <c r="G38" i="20" s="1"/>
  <c r="J38" i="20" s="1"/>
  <c r="E45" i="20"/>
  <c r="F45" i="20" s="1"/>
  <c r="G45" i="20" s="1"/>
  <c r="J45" i="20" s="1"/>
  <c r="E16" i="20"/>
  <c r="F16" i="20" s="1"/>
  <c r="G16" i="20" s="1"/>
  <c r="J16" i="20" s="1"/>
  <c r="E57" i="20"/>
  <c r="F57" i="20" s="1"/>
  <c r="G57" i="20" s="1"/>
  <c r="J57" i="20" s="1"/>
  <c r="E15" i="20"/>
  <c r="F15" i="20" s="1"/>
  <c r="G15" i="20" s="1"/>
  <c r="J15" i="20" s="1"/>
  <c r="E31" i="20"/>
  <c r="F31" i="20" s="1"/>
  <c r="G31" i="20" s="1"/>
  <c r="J31" i="20" s="1"/>
  <c r="E14" i="20"/>
  <c r="F14" i="20" s="1"/>
  <c r="G14" i="20" s="1"/>
  <c r="J14" i="20" s="1"/>
  <c r="E23" i="20"/>
  <c r="F23" i="20" s="1"/>
  <c r="G23" i="20" s="1"/>
  <c r="J23" i="20" s="1"/>
  <c r="E30" i="20"/>
  <c r="F30" i="20" s="1"/>
  <c r="G30" i="20" s="1"/>
  <c r="J30" i="20" s="1"/>
  <c r="E29" i="20"/>
  <c r="F29" i="20" s="1"/>
  <c r="G29" i="20" s="1"/>
  <c r="J29" i="20" s="1"/>
  <c r="E53" i="20"/>
  <c r="F53" i="20" s="1"/>
  <c r="G53" i="20" s="1"/>
  <c r="J53" i="20" s="1"/>
  <c r="E52" i="20"/>
  <c r="F52" i="20" s="1"/>
  <c r="G52" i="20" s="1"/>
  <c r="J52" i="20" s="1"/>
  <c r="E34" i="20"/>
  <c r="F34" i="20" s="1"/>
  <c r="G34" i="20" s="1"/>
  <c r="J34" i="20" s="1"/>
  <c r="E26" i="20"/>
  <c r="F26" i="20" s="1"/>
  <c r="G26" i="20" s="1"/>
  <c r="J26" i="20" s="1"/>
  <c r="E39" i="20"/>
  <c r="F39" i="20" s="1"/>
  <c r="G39" i="20" s="1"/>
  <c r="J39" i="20" s="1"/>
  <c r="E12" i="20"/>
  <c r="F12" i="20" s="1"/>
  <c r="G12" i="20" s="1"/>
  <c r="J12" i="20" s="1"/>
  <c r="E28" i="20"/>
  <c r="F28" i="20" s="1"/>
  <c r="G28" i="20" s="1"/>
  <c r="J28" i="20" s="1"/>
  <c r="E47" i="20"/>
  <c r="F47" i="20" s="1"/>
  <c r="G47" i="20" s="1"/>
  <c r="J47" i="20" s="1"/>
  <c r="E46" i="20"/>
  <c r="F46" i="20" s="1"/>
  <c r="G46" i="20" s="1"/>
  <c r="J46" i="20" s="1"/>
  <c r="E40" i="20"/>
  <c r="F40" i="20" s="1"/>
  <c r="G40" i="20" s="1"/>
  <c r="J40" i="20" s="1"/>
  <c r="E11" i="20"/>
  <c r="F11" i="20" s="1"/>
  <c r="G11" i="20" s="1"/>
  <c r="J11" i="20" s="1"/>
  <c r="E33" i="20"/>
  <c r="F33" i="20" s="1"/>
  <c r="G33" i="20" s="1"/>
  <c r="J33" i="20" s="1"/>
  <c r="E58" i="20"/>
  <c r="F58" i="20" s="1"/>
  <c r="G58" i="20" s="1"/>
  <c r="J58" i="20" s="1"/>
  <c r="E17" i="20"/>
  <c r="F17" i="20" s="1"/>
  <c r="G17" i="20" s="1"/>
  <c r="J17" i="20" s="1"/>
  <c r="E54" i="20"/>
  <c r="F54" i="20" s="1"/>
  <c r="G54" i="20" s="1"/>
  <c r="J54" i="20" s="1"/>
  <c r="E60" i="20"/>
  <c r="F60" i="20" s="1"/>
  <c r="G60" i="20" s="1"/>
  <c r="J60" i="20" s="1"/>
  <c r="E35" i="20"/>
  <c r="F35" i="20" s="1"/>
  <c r="G35" i="20" s="1"/>
  <c r="J35" i="20" s="1"/>
  <c r="E48" i="20"/>
  <c r="F48" i="20" s="1"/>
  <c r="G48" i="20" s="1"/>
  <c r="J48" i="20" s="1"/>
  <c r="E19" i="20"/>
  <c r="F19" i="20" s="1"/>
  <c r="G19" i="20" s="1"/>
  <c r="J19" i="20" s="1"/>
  <c r="E27" i="20"/>
  <c r="F27" i="20" s="1"/>
  <c r="G27" i="20" s="1"/>
  <c r="J27" i="20" s="1"/>
  <c r="H10" i="20"/>
  <c r="H63" i="20" s="1"/>
  <c r="D63" i="20"/>
  <c r="J18" i="20"/>
  <c r="I63" i="20"/>
  <c r="C60" i="22"/>
  <c r="E60" i="22" s="1"/>
  <c r="C69" i="22" s="1"/>
  <c r="E69" i="22" s="1"/>
  <c r="C76" i="22" s="1"/>
  <c r="E54" i="22"/>
  <c r="N25" i="21"/>
  <c r="M25" i="21"/>
  <c r="N11" i="21"/>
  <c r="M11" i="21"/>
  <c r="N55" i="21"/>
  <c r="M55" i="21"/>
  <c r="N13" i="21"/>
  <c r="M13" i="21"/>
  <c r="N28" i="21"/>
  <c r="M28" i="21"/>
  <c r="M37" i="21"/>
  <c r="N37" i="21"/>
  <c r="N14" i="21"/>
  <c r="M14" i="21"/>
  <c r="N57" i="21"/>
  <c r="M57" i="21"/>
  <c r="N15" i="21"/>
  <c r="M15" i="21"/>
  <c r="N22" i="21"/>
  <c r="M22" i="21"/>
  <c r="M43" i="21"/>
  <c r="N43" i="21"/>
  <c r="N41" i="21"/>
  <c r="M41" i="21"/>
  <c r="N30" i="21"/>
  <c r="M30" i="21"/>
  <c r="N20" i="21"/>
  <c r="M20" i="21"/>
  <c r="N27" i="21"/>
  <c r="M27" i="21"/>
  <c r="M35" i="21"/>
  <c r="N35" i="21"/>
  <c r="N21" i="21"/>
  <c r="M21" i="21"/>
  <c r="N39" i="21"/>
  <c r="M39" i="21"/>
  <c r="N56" i="21"/>
  <c r="M56" i="21"/>
  <c r="N19" i="21"/>
  <c r="M19" i="21"/>
  <c r="N12" i="21"/>
  <c r="M12" i="21"/>
  <c r="M34" i="21"/>
  <c r="N34" i="21"/>
  <c r="M45" i="21"/>
  <c r="N45" i="21"/>
  <c r="N42" i="21"/>
  <c r="M42" i="21"/>
  <c r="M33" i="21"/>
  <c r="N33" i="21"/>
  <c r="M32" i="21"/>
  <c r="N32" i="21"/>
  <c r="N53" i="21"/>
  <c r="M53" i="21"/>
  <c r="M40" i="21"/>
  <c r="N40" i="21"/>
  <c r="N52" i="21"/>
  <c r="M52" i="21"/>
  <c r="M36" i="21"/>
  <c r="N36" i="21"/>
  <c r="N38" i="21"/>
  <c r="M38" i="21"/>
  <c r="N17" i="21"/>
  <c r="M17" i="21"/>
  <c r="N29" i="21"/>
  <c r="M29" i="21"/>
  <c r="N51" i="21"/>
  <c r="M51" i="21"/>
  <c r="M47" i="21"/>
  <c r="N47" i="21"/>
  <c r="M18" i="21"/>
  <c r="N18" i="21"/>
  <c r="N54" i="21"/>
  <c r="M54" i="21"/>
  <c r="M50" i="21"/>
  <c r="N50" i="21"/>
  <c r="J58" i="21"/>
  <c r="N23" i="21"/>
  <c r="M23" i="21"/>
  <c r="N31" i="21"/>
  <c r="M31" i="21"/>
  <c r="N44" i="21"/>
  <c r="M44" i="21"/>
  <c r="N26" i="21"/>
  <c r="M26" i="21"/>
  <c r="N24" i="21"/>
  <c r="M24" i="21"/>
  <c r="N16" i="21"/>
  <c r="M16" i="21"/>
  <c r="M48" i="21"/>
  <c r="N48" i="21"/>
  <c r="M49" i="21"/>
  <c r="N49" i="21"/>
  <c r="M46" i="21"/>
  <c r="N46" i="21"/>
  <c r="K58" i="21"/>
  <c r="N58" i="21" s="1"/>
  <c r="M9" i="21"/>
  <c r="N9" i="21"/>
  <c r="M10" i="21"/>
  <c r="N10" i="21"/>
  <c r="E63" i="20" l="1"/>
  <c r="G61" i="20"/>
  <c r="G63" i="20" s="1"/>
  <c r="F63" i="20"/>
  <c r="J63" i="20"/>
  <c r="C82" i="22"/>
  <c r="E76" i="22"/>
  <c r="M58" i="21"/>
  <c r="E82" i="22" l="1"/>
  <c r="C91" i="22" l="1"/>
  <c r="E91" i="22" l="1"/>
  <c r="C97" i="22"/>
  <c r="C102" i="22" s="1"/>
  <c r="E102" i="22" l="1"/>
  <c r="C108" i="22"/>
  <c r="C114" i="22" s="1"/>
  <c r="E97" i="22"/>
  <c r="E114" i="22" l="1"/>
  <c r="C120" i="22"/>
  <c r="E108" i="22"/>
  <c r="E120" i="22" l="1"/>
  <c r="C126" i="22"/>
  <c r="F51" i="18" s="1"/>
  <c r="H51" i="18" s="1"/>
  <c r="E126" i="22" l="1"/>
  <c r="C132" i="22"/>
  <c r="E132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5% increase</t>
        </r>
      </text>
    </comment>
    <comment ref="H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Per III's 2021 Renewal quotes, 5-20-2020</t>
        </r>
      </text>
    </comment>
    <comment ref="D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roholt:
</t>
        </r>
        <r>
          <rPr>
            <sz val="9"/>
            <color indexed="81"/>
            <rFont val="Tahoma"/>
            <family val="2"/>
          </rPr>
          <t>3.5% increase per JT: $298,494; increase eliminated per 6-7</t>
        </r>
      </text>
    </comment>
    <comment ref="D3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5% buying pool increase</t>
        </r>
      </text>
    </comment>
    <comment ref="H35" authorId="0" shapeId="0" xr:uid="{BBAE01BD-B8A8-4DFA-8B0F-7C1E8671CC70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Per WPLC budget passed 6-15-2020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9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224,000 + 35,990 for Boopsie expense</t>
        </r>
      </text>
    </comment>
    <comment ref="C11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Boobsie startup &amp; 1st yr subscription  -  likely credit on acct and will reallocate to new product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C7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LEPMPL prepaid 3 years' maintenance on 3 SIP2 licenses in Oct. 2017. They were double-charged for maintenance in 2019; credit applied. Maintenance on original 3 licenses paid through 2020</t>
        </r>
      </text>
    </comment>
    <comment ref="C8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3rd SIP2 license purchased 5-2019; 1st maintenance bill here 2021</t>
        </r>
      </text>
    </comment>
    <comment ref="C88" authorId="0" shapeId="0" xr:uid="{6929A48A-B883-4ABB-8099-9ED12DD087D0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2nd self-check added in 2020. Add maintenance for this in 2021</t>
        </r>
      </text>
    </comment>
  </commentList>
</comments>
</file>

<file path=xl/sharedStrings.xml><?xml version="1.0" encoding="utf-8"?>
<sst xmlns="http://schemas.openxmlformats.org/spreadsheetml/2006/main" count="458" uniqueCount="376">
  <si>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</si>
  <si>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</si>
  <si>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</si>
  <si>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</si>
  <si>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</si>
  <si>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</si>
  <si>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</si>
  <si>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</si>
  <si>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</si>
  <si>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</si>
  <si>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</si>
  <si>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</si>
  <si>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</si>
  <si>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</si>
  <si>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</si>
  <si>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</si>
  <si>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</si>
  <si>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</si>
  <si>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</si>
  <si>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</si>
  <si>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</si>
  <si>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</si>
  <si>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</si>
  <si>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</si>
  <si>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</si>
  <si>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</si>
  <si>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</si>
  <si>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</si>
  <si>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</si>
  <si>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</si>
  <si>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</si>
  <si>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</si>
  <si>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</si>
  <si>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</si>
  <si>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</si>
  <si>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</si>
  <si>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</si>
  <si>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</si>
  <si>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</si>
  <si>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</si>
  <si>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</si>
  <si>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</si>
  <si>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</si>
  <si>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</si>
  <si>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</si>
  <si>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</si>
  <si>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</si>
  <si>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</si>
  <si>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</si>
  <si>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</si>
  <si>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</si>
  <si>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</si>
  <si>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</si>
  <si>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</si>
  <si>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</si>
  <si>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</si>
  <si>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</si>
  <si>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</si>
  <si>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</si>
  <si>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</si>
  <si>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</si>
  <si>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</si>
  <si>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</si>
  <si>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</si>
  <si>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</si>
  <si>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</si>
  <si>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</si>
  <si>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</si>
  <si>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</si>
  <si>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</si>
  <si>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</si>
  <si>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</si>
  <si>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</si>
  <si>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</si>
  <si>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</si>
  <si>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</si>
  <si>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</si>
  <si>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</si>
  <si>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</si>
  <si>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</si>
  <si>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</si>
  <si>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</si>
  <si>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</si>
  <si>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</si>
  <si>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</si>
  <si>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</si>
  <si>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</si>
  <si>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</si>
  <si>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</si>
  <si>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</si>
  <si>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</si>
  <si>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</si>
  <si>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</si>
  <si>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</si>
  <si>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</si>
  <si>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</si>
  <si>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</si>
  <si>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</si>
  <si>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</si>
  <si>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</si>
  <si>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</si>
  <si>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</si>
  <si>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</si>
  <si>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</si>
  <si>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</si>
  <si>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</si>
  <si>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</si>
  <si>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</si>
  <si>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</si>
  <si>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</si>
  <si>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CVTC   1/1/2000 (withdrawal 1/1/2006)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</si>
  <si>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</si>
  <si>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</si>
  <si>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</si>
  <si>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</si>
  <si>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</si>
  <si>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</si>
  <si>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</si>
  <si>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</si>
  <si>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</si>
  <si>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</si>
  <si>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</si>
  <si>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</si>
  <si>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</si>
  <si>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</si>
  <si>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</si>
  <si>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</si>
  <si>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</si>
  <si>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</si>
  <si>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</si>
  <si>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</si>
  <si>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</si>
  <si>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</si>
  <si>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</si>
  <si>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</si>
  <si>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</si>
  <si>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</si>
  <si>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</si>
  <si>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</si>
  <si>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</si>
  <si>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</si>
  <si>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</si>
  <si>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</si>
  <si>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</si>
  <si>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</si>
  <si>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</si>
  <si>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</si>
  <si>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</si>
  <si>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</si>
  <si>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</si>
  <si>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</si>
  <si>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</si>
  <si>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</si>
  <si>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</si>
  <si>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</si>
  <si>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</si>
  <si>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</si>
  <si>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</si>
  <si>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</si>
  <si>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</si>
  <si>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</si>
  <si>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</si>
  <si>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</si>
  <si>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Altoona</t>
  </si>
  <si>
    <t>Amery</t>
  </si>
  <si>
    <t>Baldwin</t>
  </si>
  <si>
    <t>Barron</t>
    <phoneticPr fontId="0" type="noConversion"/>
  </si>
  <si>
    <t>Chippewa</t>
  </si>
  <si>
    <t>Eau Claire</t>
  </si>
  <si>
    <t>Ellsworth</t>
    <phoneticPr fontId="0" type="noConversion"/>
  </si>
  <si>
    <t>Frederic</t>
    <phoneticPr fontId="0" type="noConversion"/>
  </si>
  <si>
    <t>Glenwood City</t>
  </si>
  <si>
    <t>Hudson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</si>
  <si>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</si>
  <si>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</si>
  <si>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</si>
  <si>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</si>
  <si>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</si>
  <si>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</si>
  <si>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</si>
  <si>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</si>
  <si>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</si>
  <si>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</si>
  <si>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</si>
  <si>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</si>
  <si>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</si>
  <si>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</si>
  <si>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</si>
  <si>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 xml:space="preserve">                    =</t>
  </si>
  <si>
    <t>Circ &amp; Items as a % of Total</t>
  </si>
  <si>
    <t>LIBRARY</t>
  </si>
  <si>
    <t>items per total</t>
  </si>
  <si>
    <t>circ per total</t>
  </si>
  <si>
    <t>Total items+circ</t>
  </si>
  <si>
    <t>i+c per total %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</si>
  <si>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</si>
  <si>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</si>
  <si>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</si>
  <si>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</si>
  <si>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</si>
  <si>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</si>
  <si>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</si>
  <si>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</si>
  <si>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</si>
  <si>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</si>
  <si>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</si>
  <si>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</si>
  <si>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</si>
  <si>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</si>
  <si>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</si>
  <si>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</si>
  <si>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</si>
  <si>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</si>
  <si>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</si>
  <si>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</si>
  <si>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</si>
  <si>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</si>
  <si>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</si>
  <si>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</si>
  <si>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</si>
  <si>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</si>
  <si>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</si>
  <si>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</si>
  <si>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</si>
  <si>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</si>
  <si>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</si>
  <si>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</si>
  <si>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</si>
  <si>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</si>
  <si>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</si>
  <si>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</si>
  <si>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</si>
  <si>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</si>
  <si>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</si>
  <si>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</si>
  <si>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</si>
  <si>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</si>
  <si>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</si>
  <si>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</si>
  <si>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</si>
  <si>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</si>
  <si>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</si>
  <si>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</si>
  <si>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</si>
  <si>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</si>
  <si>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</si>
  <si>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</si>
  <si>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</si>
  <si>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</si>
  <si>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</si>
  <si>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</si>
  <si>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</si>
  <si>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</si>
  <si>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</si>
  <si>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</si>
  <si>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</si>
  <si>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</si>
  <si>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</si>
  <si>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Freading eBook Service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</si>
  <si>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</si>
  <si>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</si>
  <si>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</si>
  <si>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</si>
  <si>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</si>
  <si>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</si>
  <si>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</si>
  <si>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</si>
  <si>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</si>
  <si>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</si>
  <si>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</si>
  <si>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</si>
  <si>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</si>
  <si>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</si>
  <si>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</si>
  <si>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</si>
  <si>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Decision Center</t>
  </si>
  <si>
    <t>Possible New Products</t>
  </si>
  <si>
    <t>Possible New Products (from Carryover)</t>
  </si>
  <si>
    <t>IFLS Management Charges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</si>
  <si>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</si>
  <si>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</si>
  <si>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</si>
  <si>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</si>
  <si>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</si>
  <si>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</si>
  <si>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</si>
  <si>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</si>
  <si>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</si>
  <si>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</si>
  <si>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 xml:space="preserve">   Adj to Close Books @ end of 2015</t>
  </si>
  <si>
    <t>IFLS Subsidy per Library</t>
  </si>
  <si>
    <t>Email and text reminder subscription</t>
  </si>
  <si>
    <t>Content Café</t>
  </si>
  <si>
    <t>iTIVA from Talking Tech</t>
  </si>
  <si>
    <t>Messaging telephone notification and renewal service, annual fee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</si>
  <si>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</si>
  <si>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</si>
  <si>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</si>
  <si>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</si>
  <si>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</si>
  <si>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</si>
  <si>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</si>
  <si>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</si>
  <si>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</si>
  <si>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</si>
  <si>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</si>
  <si>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Est Carryover @ 12/31/18</t>
  </si>
  <si>
    <t>Primarily annual Innovative Users Group Conference</t>
  </si>
  <si>
    <t>OCLC, Web Dewey, and RDA Toolkit</t>
  </si>
  <si>
    <t>Statewide OverDrive collection buying pool; some funds returned for system Advantage account</t>
  </si>
  <si>
    <t xml:space="preserve">Eau Claire </t>
  </si>
  <si>
    <t>Carryover @ 12/31/17</t>
  </si>
  <si>
    <t>Est Carryover @ 12/31/19</t>
  </si>
  <si>
    <t xml:space="preserve">   Less 2018 Add'l from Carryover (revised budget)</t>
  </si>
  <si>
    <t xml:space="preserve">   Less 2019 Projects from Carryover</t>
  </si>
  <si>
    <t xml:space="preserve">   Less 2019 Add'l from Carryover (revised budget)</t>
  </si>
  <si>
    <t xml:space="preserve">   Adj to Close Books @ end of 2019</t>
  </si>
  <si>
    <t xml:space="preserve">   Reserves - Boopsie deferred to 2018</t>
  </si>
  <si>
    <t>Statistical and collection development tool</t>
  </si>
  <si>
    <t>Ongoing authority processing service</t>
  </si>
  <si>
    <t>Automation software support</t>
  </si>
  <si>
    <t>Eau Claire, Chippewa, Menomonie, Ladysmith, Balsam Lake, others</t>
  </si>
  <si>
    <t>Electronic magazines</t>
  </si>
  <si>
    <t xml:space="preserve"> 2020 Total</t>
  </si>
  <si>
    <t>Hosting Sierra and Encore servers</t>
  </si>
  <si>
    <t xml:space="preserve">   Less 2020 Projects from Carryover</t>
  </si>
  <si>
    <t xml:space="preserve">   Less 2020 Add'l from Carryover (revised budget)</t>
  </si>
  <si>
    <t xml:space="preserve">   Adj to Close Books @ end of 2020</t>
  </si>
  <si>
    <t>Est Carryover @ 12/31/20</t>
  </si>
  <si>
    <t xml:space="preserve">  Self-check @ $340/</t>
  </si>
  <si>
    <t xml:space="preserve">  Collection Agency</t>
  </si>
  <si>
    <t xml:space="preserve">   Libraries with Additional Maintenance re: Special Modules or Self-check @----&gt;</t>
  </si>
  <si>
    <t>Discovery/Online Catalog</t>
  </si>
  <si>
    <t>BiblioApps library app from Bibliocommons</t>
  </si>
  <si>
    <t>Based on IFLS's state aid; includes some IFLS personnel, committee meeting, training travel/meeting, and telephone expenses; increase for 2020 to cover offsite Directors Council meeting costs</t>
  </si>
  <si>
    <t>Database quality control</t>
  </si>
  <si>
    <t>7/19/2019 Approved</t>
  </si>
  <si>
    <t>2020 Budget</t>
  </si>
  <si>
    <t>2020 +/-</t>
  </si>
  <si>
    <t xml:space="preserve">   Less 2021 Projects from Carryover</t>
  </si>
  <si>
    <t xml:space="preserve">   Less 2021 Add'l from Carryover (revised budget)</t>
  </si>
  <si>
    <t xml:space="preserve">   Adj to Close Books @ end of 2021</t>
  </si>
  <si>
    <t>Est Carryover @ 12/31/21</t>
  </si>
  <si>
    <t>Reserve @ '21 = $24,000</t>
  </si>
  <si>
    <t>Reserve @ '21 = $175,000</t>
  </si>
  <si>
    <t>Reserve @ '21 = $25,000</t>
  </si>
  <si>
    <t>2021 MORE Costs to Library Participants</t>
  </si>
  <si>
    <t xml:space="preserve">2021 Total MORE Budget = </t>
  </si>
  <si>
    <t xml:space="preserve">Less 2021 IFLS Subsidy (off top) = </t>
  </si>
  <si>
    <t xml:space="preserve">2021 MORE Budget billable to Libs = </t>
  </si>
  <si>
    <t xml:space="preserve">Add'l 2021 IFLS Subsidy = Am't per Lib ($800 Min) </t>
  </si>
  <si>
    <t>2021         Total         Cost to Library</t>
  </si>
  <si>
    <t>2021  Contents/ Materials</t>
  </si>
  <si>
    <t>2021     General Maintenance</t>
  </si>
  <si>
    <t>MORE 2021 Cost Allocations</t>
  </si>
  <si>
    <t xml:space="preserve">2020 Costs </t>
  </si>
  <si>
    <t xml:space="preserve"> 2021 Total</t>
  </si>
  <si>
    <t>2019          items</t>
  </si>
  <si>
    <t>2019            circ</t>
  </si>
  <si>
    <t>2015-   2021</t>
  </si>
  <si>
    <t>MORE Funds</t>
  </si>
  <si>
    <t>Including</t>
  </si>
  <si>
    <t xml:space="preserve">2021 Preliminary Costs </t>
  </si>
  <si>
    <t>2020: IUG Conference</t>
  </si>
  <si>
    <t>2020: BiblioCore implementation</t>
  </si>
  <si>
    <t>IFLS OverDrive Advantage program</t>
  </si>
  <si>
    <t>Flipster is current product</t>
  </si>
  <si>
    <t>To purchase high-demand materials in any format</t>
  </si>
  <si>
    <t>Draft Budget</t>
  </si>
  <si>
    <t xml:space="preserve">  2021 Draft Budget:</t>
  </si>
  <si>
    <t>6-2020</t>
  </si>
  <si>
    <t>2021: Add $112,000 for centralized bibliographic services</t>
  </si>
  <si>
    <r>
      <t xml:space="preserve">Online catalog software; </t>
    </r>
    <r>
      <rPr>
        <u val="singleAccounting"/>
        <sz val="11"/>
        <rFont val="Arial"/>
        <family val="2"/>
      </rPr>
      <t>BiblioCore starting 2020</t>
    </r>
  </si>
  <si>
    <t>2021 Recommended Budget</t>
  </si>
  <si>
    <t>Recommended</t>
  </si>
  <si>
    <t>Based on 2021 Recommended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</si>
</sst>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41" applyNumberFormat="0" applyAlignment="0" applyProtection="0"/>
    <xf numFmtId="0" fontId="27" fillId="15" borderId="42" applyNumberFormat="0" applyAlignment="0" applyProtection="0"/>
    <xf numFmtId="0" fontId="28" fillId="15" borderId="41" applyNumberFormat="0" applyAlignment="0" applyProtection="0"/>
    <xf numFmtId="0" fontId="29" fillId="0" borderId="43" applyNumberFormat="0" applyFill="0" applyAlignment="0" applyProtection="0"/>
    <xf numFmtId="0" fontId="30" fillId="16" borderId="4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6" applyNumberFormat="0" applyFill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</cellStyleXfs>
  <cellXfs count="319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0" fillId="0" borderId="0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Border="1" applyAlignment="1">
      <alignment horizontal="right"/>
    </xf>
    <xf numFmtId="0" fontId="9" fillId="0" borderId="0" xfId="3" applyAlignment="1">
      <alignment horizontal="right"/>
    </xf>
    <xf numFmtId="0" fontId="10" fillId="0" borderId="0" xfId="3" applyFont="1" applyBorder="1"/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/>
    <xf numFmtId="0" fontId="9" fillId="0" borderId="0" xfId="3" applyBorder="1" applyAlignment="1">
      <alignment horizontal="right"/>
    </xf>
    <xf numFmtId="0" fontId="9" fillId="0" borderId="0" xfId="3" applyBorder="1"/>
    <xf numFmtId="167" fontId="9" fillId="0" borderId="0" xfId="3" applyNumberFormat="1"/>
    <xf numFmtId="167" fontId="9" fillId="0" borderId="7" xfId="3" applyNumberFormat="1" applyBorder="1"/>
    <xf numFmtId="167" fontId="9" fillId="0" borderId="0" xfId="3" applyNumberFormat="1" applyBorder="1"/>
    <xf numFmtId="168" fontId="9" fillId="0" borderId="0" xfId="3" applyNumberFormat="1"/>
    <xf numFmtId="168" fontId="9" fillId="0" borderId="0" xfId="3" applyNumberFormat="1" applyBorder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Fill="1" applyAlignment="1">
      <alignment horizontal="left"/>
    </xf>
    <xf numFmtId="167" fontId="9" fillId="0" borderId="0" xfId="3" applyNumberFormat="1" applyFill="1"/>
    <xf numFmtId="0" fontId="0" fillId="0" borderId="0" xfId="0" applyProtection="1"/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49" fontId="4" fillId="0" borderId="0" xfId="0" applyNumberFormat="1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167" fontId="9" fillId="0" borderId="20" xfId="3" applyNumberFormat="1" applyBorder="1"/>
    <xf numFmtId="0" fontId="9" fillId="0" borderId="20" xfId="3" applyBorder="1"/>
    <xf numFmtId="0" fontId="9" fillId="0" borderId="21" xfId="3" applyBorder="1"/>
    <xf numFmtId="167" fontId="9" fillId="0" borderId="7" xfId="3" applyNumberFormat="1" applyFill="1" applyBorder="1"/>
    <xf numFmtId="0" fontId="9" fillId="0" borderId="7" xfId="3" applyFill="1" applyBorder="1"/>
    <xf numFmtId="0" fontId="9" fillId="0" borderId="10" xfId="3" applyFill="1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165" fontId="9" fillId="0" borderId="0" xfId="4" applyNumberFormat="1"/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0" fontId="10" fillId="0" borderId="24" xfId="4" applyFont="1" applyBorder="1" applyAlignment="1">
      <alignment horizontal="center" wrapText="1"/>
    </xf>
    <xf numFmtId="0" fontId="10" fillId="0" borderId="25" xfId="4" applyFont="1" applyBorder="1" applyAlignment="1">
      <alignment horizontal="center" wrapText="1"/>
    </xf>
    <xf numFmtId="0" fontId="9" fillId="0" borderId="0" xfId="4" applyFill="1"/>
    <xf numFmtId="167" fontId="9" fillId="0" borderId="1" xfId="4" applyNumberFormat="1" applyFill="1" applyBorder="1"/>
    <xf numFmtId="1" fontId="9" fillId="0" borderId="0" xfId="4" applyNumberFormat="1" applyFill="1"/>
    <xf numFmtId="167" fontId="9" fillId="0" borderId="26" xfId="4" applyNumberFormat="1" applyFill="1" applyBorder="1"/>
    <xf numFmtId="165" fontId="9" fillId="0" borderId="0" xfId="4" applyNumberFormat="1" applyFill="1"/>
    <xf numFmtId="167" fontId="9" fillId="0" borderId="0" xfId="4" applyNumberFormat="1" applyFill="1"/>
    <xf numFmtId="167" fontId="9" fillId="0" borderId="0" xfId="4" applyNumberFormat="1" applyFill="1" applyBorder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0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26" xfId="4" applyFont="1" applyBorder="1"/>
    <xf numFmtId="7" fontId="8" fillId="0" borderId="0" xfId="2" applyNumberFormat="1" applyFont="1" applyBorder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10" fillId="0" borderId="17" xfId="0" applyFont="1" applyBorder="1"/>
    <xf numFmtId="0" fontId="8" fillId="0" borderId="0" xfId="3" applyFont="1" applyFill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 applyBorder="1"/>
    <xf numFmtId="0" fontId="10" fillId="2" borderId="17" xfId="4" applyFont="1" applyFill="1" applyBorder="1" applyAlignment="1">
      <alignment horizontal="center" wrapText="1"/>
    </xf>
    <xf numFmtId="167" fontId="10" fillId="2" borderId="2" xfId="4" applyNumberFormat="1" applyFont="1" applyFill="1" applyBorder="1"/>
    <xf numFmtId="0" fontId="0" fillId="0" borderId="12" xfId="0" applyFill="1" applyBorder="1"/>
    <xf numFmtId="44" fontId="2" fillId="4" borderId="15" xfId="2" applyFont="1" applyFill="1" applyBorder="1" applyAlignment="1">
      <alignment horizontal="right"/>
    </xf>
    <xf numFmtId="0" fontId="9" fillId="0" borderId="0" xfId="4" applyFill="1" applyAlignment="1">
      <alignment horizontal="center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 applyFill="1"/>
    <xf numFmtId="0" fontId="0" fillId="6" borderId="5" xfId="0" applyFill="1" applyBorder="1"/>
    <xf numFmtId="0" fontId="3" fillId="6" borderId="5" xfId="0" applyFont="1" applyFill="1" applyBorder="1"/>
    <xf numFmtId="0" fontId="3" fillId="0" borderId="0" xfId="0" applyFont="1" applyFill="1"/>
    <xf numFmtId="0" fontId="0" fillId="0" borderId="0" xfId="0" applyFill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0" fontId="10" fillId="8" borderId="17" xfId="4" applyFont="1" applyFill="1" applyBorder="1" applyAlignment="1">
      <alignment horizontal="center" wrapText="1"/>
    </xf>
    <xf numFmtId="167" fontId="9" fillId="8" borderId="0" xfId="4" applyNumberFormat="1" applyFill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9" fillId="4" borderId="35" xfId="3" applyFill="1" applyBorder="1"/>
    <xf numFmtId="0" fontId="0" fillId="0" borderId="36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4" fontId="2" fillId="9" borderId="7" xfId="2" applyFill="1" applyBorder="1">
      <alignment wrapText="1"/>
    </xf>
    <xf numFmtId="43" fontId="2" fillId="0" borderId="0" xfId="1" applyFill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7" xfId="3" applyFont="1" applyFill="1" applyBorder="1" applyAlignment="1">
      <alignment horizontal="center" wrapText="1"/>
    </xf>
    <xf numFmtId="0" fontId="9" fillId="0" borderId="25" xfId="4" applyBorder="1"/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7" fontId="4" fillId="0" borderId="21" xfId="1" applyNumberFormat="1" applyFont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9" fontId="4" fillId="0" borderId="3" xfId="5" applyNumberFormat="1" applyFont="1" applyFill="1" applyBorder="1"/>
    <xf numFmtId="43" fontId="4" fillId="0" borderId="0" xfId="1" applyNumberFormat="1" applyFont="1" applyFill="1"/>
    <xf numFmtId="169" fontId="4" fillId="0" borderId="27" xfId="5" applyNumberFormat="1" applyFont="1" applyFill="1" applyBorder="1"/>
    <xf numFmtId="167" fontId="4" fillId="0" borderId="26" xfId="1" applyNumberFormat="1" applyFont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43" fontId="4" fillId="0" borderId="0" xfId="1" applyFont="1"/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Border="1">
      <alignment wrapText="1"/>
    </xf>
    <xf numFmtId="44" fontId="2" fillId="3" borderId="7" xfId="2" applyFill="1" applyBorder="1">
      <alignment wrapText="1"/>
    </xf>
    <xf numFmtId="0" fontId="10" fillId="0" borderId="0" xfId="0" applyFont="1"/>
    <xf numFmtId="164" fontId="4" fillId="0" borderId="15" xfId="0" applyNumberFormat="1" applyFont="1" applyBorder="1"/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Fill="1" applyBorder="1"/>
    <xf numFmtId="167" fontId="4" fillId="0" borderId="26" xfId="58" applyNumberFormat="1" applyFill="1" applyBorder="1"/>
    <xf numFmtId="167" fontId="4" fillId="0" borderId="0" xfId="58" applyNumberFormat="1" applyFill="1" applyBorder="1"/>
    <xf numFmtId="43" fontId="3" fillId="0" borderId="15" xfId="0" applyNumberFormat="1" applyFont="1" applyBorder="1"/>
    <xf numFmtId="43" fontId="2" fillId="0" borderId="0" xfId="1"/>
    <xf numFmtId="44" fontId="0" fillId="0" borderId="0" xfId="0" applyNumberFormat="1"/>
    <xf numFmtId="167" fontId="4" fillId="0" borderId="0" xfId="1" applyNumberFormat="1" applyFont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4" fontId="4" fillId="0" borderId="0" xfId="2" applyNumberFormat="1" applyFont="1" applyBorder="1">
      <alignment wrapText="1"/>
    </xf>
    <xf numFmtId="164" fontId="4" fillId="0" borderId="15" xfId="2" applyNumberFormat="1" applyFont="1" applyBorder="1">
      <alignment wrapText="1"/>
    </xf>
    <xf numFmtId="0" fontId="10" fillId="0" borderId="17" xfId="58" applyFont="1" applyFill="1" applyBorder="1" applyAlignment="1">
      <alignment horizontal="center" wrapText="1"/>
    </xf>
    <xf numFmtId="0" fontId="35" fillId="0" borderId="0" xfId="0" applyFont="1"/>
    <xf numFmtId="43" fontId="0" fillId="42" borderId="0" xfId="0" applyNumberFormat="1" applyFill="1"/>
    <xf numFmtId="44" fontId="2" fillId="0" borderId="32" xfId="2" applyFont="1" applyFill="1" applyBorder="1" applyAlignment="1">
      <alignment horizontal="right"/>
    </xf>
    <xf numFmtId="0" fontId="0" fillId="0" borderId="0" xfId="0"/>
    <xf numFmtId="0" fontId="3" fillId="0" borderId="0" xfId="0" applyFont="1"/>
    <xf numFmtId="0" fontId="35" fillId="0" borderId="12" xfId="0" applyFont="1" applyFill="1" applyBorder="1"/>
    <xf numFmtId="0" fontId="0" fillId="0" borderId="7" xfId="0" applyBorder="1" applyAlignment="1">
      <alignment horizontal="center"/>
    </xf>
    <xf numFmtId="0" fontId="0" fillId="0" borderId="12" xfId="0" applyFill="1" applyBorder="1"/>
    <xf numFmtId="167" fontId="10" fillId="0" borderId="17" xfId="1" applyNumberFormat="1" applyFont="1" applyFill="1" applyBorder="1"/>
    <xf numFmtId="3" fontId="9" fillId="0" borderId="0" xfId="4" applyNumberFormat="1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0" borderId="7" xfId="2" applyBorder="1" applyAlignment="1">
      <alignment wrapText="1"/>
    </xf>
    <xf numFmtId="44" fontId="2" fillId="7" borderId="7" xfId="2" applyFont="1" applyFill="1" applyBorder="1" applyAlignment="1">
      <alignment horizontal="center" wrapText="1"/>
    </xf>
    <xf numFmtId="44" fontId="2" fillId="0" borderId="10" xfId="2" applyBorder="1" applyAlignment="1">
      <alignment wrapText="1"/>
    </xf>
    <xf numFmtId="44" fontId="2" fillId="0" borderId="11" xfId="2" applyBorder="1" applyAlignment="1">
      <alignment wrapText="1"/>
    </xf>
    <xf numFmtId="44" fontId="2" fillId="10" borderId="7" xfId="2" applyFill="1" applyBorder="1" applyAlignment="1">
      <alignment wrapText="1"/>
    </xf>
    <xf numFmtId="44" fontId="2" fillId="4" borderId="15" xfId="2" applyFont="1" applyFill="1" applyBorder="1" applyAlignment="1">
      <alignment horizontal="right"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Fill="1" applyBorder="1" applyAlignment="1" applyProtection="1">
      <alignment horizontal="right" vertical="top" wrapText="1"/>
    </xf>
    <xf numFmtId="170" fontId="0" fillId="0" borderId="0" xfId="0" applyNumberFormat="1" applyAlignment="1">
      <alignment wrapText="1"/>
    </xf>
    <xf numFmtId="170" fontId="2" fillId="7" borderId="7" xfId="2" applyNumberFormat="1" applyFill="1" applyBorder="1">
      <alignment wrapText="1"/>
    </xf>
    <xf numFmtId="170" fontId="2" fillId="7" borderId="7" xfId="2" applyNumberFormat="1" applyFont="1" applyFill="1" applyBorder="1">
      <alignment wrapText="1"/>
    </xf>
    <xf numFmtId="170" fontId="2" fillId="4" borderId="7" xfId="2" applyNumberFormat="1" applyFill="1" applyBorder="1">
      <alignment wrapText="1"/>
    </xf>
    <xf numFmtId="170" fontId="2" fillId="0" borderId="11" xfId="2" applyNumberFormat="1" applyBorder="1" applyAlignment="1">
      <alignment wrapText="1"/>
    </xf>
    <xf numFmtId="44" fontId="4" fillId="0" borderId="12" xfId="2" applyFont="1" applyBorder="1">
      <alignment wrapText="1"/>
    </xf>
    <xf numFmtId="44" fontId="35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Font="1" applyBorder="1" applyAlignment="1">
      <alignment wrapText="1"/>
    </xf>
    <xf numFmtId="44" fontId="4" fillId="0" borderId="12" xfId="2" applyFont="1" applyBorder="1" applyAlignment="1">
      <alignment wrapText="1"/>
    </xf>
    <xf numFmtId="44" fontId="2" fillId="0" borderId="12" xfId="2" applyBorder="1">
      <alignment wrapText="1"/>
    </xf>
    <xf numFmtId="44" fontId="2" fillId="10" borderId="12" xfId="2" applyFont="1" applyFill="1" applyBorder="1">
      <alignment wrapText="1"/>
    </xf>
    <xf numFmtId="44" fontId="5" fillId="4" borderId="12" xfId="2" applyFont="1" applyFill="1" applyBorder="1" applyAlignment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0" fontId="0" fillId="0" borderId="7" xfId="0" applyNumberFormat="1" applyBorder="1" applyAlignment="1">
      <alignment wrapText="1"/>
    </xf>
    <xf numFmtId="43" fontId="0" fillId="0" borderId="0" xfId="1" applyFont="1"/>
    <xf numFmtId="44" fontId="10" fillId="4" borderId="7" xfId="4" applyNumberFormat="1" applyFont="1" applyFill="1" applyBorder="1"/>
    <xf numFmtId="170" fontId="0" fillId="0" borderId="19" xfId="2" applyNumberFormat="1" applyFont="1" applyBorder="1" applyAlignment="1">
      <alignment wrapText="1"/>
    </xf>
    <xf numFmtId="44" fontId="2" fillId="0" borderId="7" xfId="2" applyFont="1" applyBorder="1">
      <alignment wrapText="1"/>
    </xf>
    <xf numFmtId="44" fontId="2" fillId="4" borderId="15" xfId="2" applyFont="1" applyFill="1" applyBorder="1">
      <alignment wrapText="1"/>
    </xf>
    <xf numFmtId="170" fontId="0" fillId="0" borderId="18" xfId="2" applyNumberFormat="1" applyFont="1" applyBorder="1">
      <alignment wrapText="1"/>
    </xf>
    <xf numFmtId="0" fontId="10" fillId="0" borderId="25" xfId="58" applyFont="1" applyFill="1" applyBorder="1" applyAlignment="1">
      <alignment horizontal="center" wrapText="1"/>
    </xf>
    <xf numFmtId="167" fontId="4" fillId="0" borderId="3" xfId="1" applyNumberFormat="1" applyFont="1" applyFill="1" applyBorder="1"/>
    <xf numFmtId="167" fontId="4" fillId="0" borderId="27" xfId="58" applyNumberFormat="1" applyFill="1" applyBorder="1"/>
    <xf numFmtId="44" fontId="10" fillId="0" borderId="18" xfId="2" applyFont="1" applyFill="1" applyBorder="1">
      <alignment wrapText="1"/>
    </xf>
    <xf numFmtId="0" fontId="4" fillId="0" borderId="0" xfId="0" applyFont="1" applyAlignment="1">
      <alignment horizontal="left"/>
    </xf>
    <xf numFmtId="44" fontId="3" fillId="6" borderId="5" xfId="2" applyFont="1" applyFill="1" applyBorder="1">
      <alignment wrapText="1"/>
    </xf>
    <xf numFmtId="44" fontId="0" fillId="0" borderId="0" xfId="2" applyFont="1" applyFill="1">
      <alignment wrapText="1"/>
    </xf>
    <xf numFmtId="43" fontId="0" fillId="0" borderId="0" xfId="1" applyFont="1" applyFill="1" applyAlignment="1">
      <alignment wrapText="1"/>
    </xf>
    <xf numFmtId="0" fontId="2" fillId="0" borderId="12" xfId="0" applyFont="1" applyFill="1" applyBorder="1"/>
    <xf numFmtId="0" fontId="3" fillId="0" borderId="0" xfId="0" applyFont="1" applyAlignment="1">
      <alignment horizontal="center"/>
    </xf>
    <xf numFmtId="44" fontId="0" fillId="42" borderId="0" xfId="0" applyNumberFormat="1" applyFill="1"/>
    <xf numFmtId="0" fontId="0" fillId="0" borderId="17" xfId="0" applyBorder="1" applyAlignment="1">
      <alignment horizontal="left"/>
    </xf>
    <xf numFmtId="44" fontId="2" fillId="0" borderId="12" xfId="2" applyFont="1" applyBorder="1" applyAlignment="1">
      <alignment vertical="center" wrapText="1"/>
    </xf>
    <xf numFmtId="0" fontId="10" fillId="42" borderId="17" xfId="4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1084">
    <cellStyle name="20% - Accent1" xfId="35" builtinId="30" customBuiltin="1"/>
    <cellStyle name="20% - Accent1 10" xfId="64" xr:uid="{00000000-0005-0000-0000-000001000000}"/>
    <cellStyle name="20% - Accent1 11" xfId="65" xr:uid="{00000000-0005-0000-0000-000002000000}"/>
    <cellStyle name="20% - Accent1 12" xfId="66" xr:uid="{00000000-0005-0000-0000-000003000000}"/>
    <cellStyle name="20% - Accent1 13" xfId="67" xr:uid="{00000000-0005-0000-0000-000004000000}"/>
    <cellStyle name="20% - Accent1 14" xfId="68" xr:uid="{00000000-0005-0000-0000-000005000000}"/>
    <cellStyle name="20% - Accent1 15" xfId="69" xr:uid="{00000000-0005-0000-0000-000006000000}"/>
    <cellStyle name="20% - Accent1 16" xfId="70" xr:uid="{00000000-0005-0000-0000-000007000000}"/>
    <cellStyle name="20% - Accent1 17" xfId="71" xr:uid="{00000000-0005-0000-0000-000008000000}"/>
    <cellStyle name="20% - Accent1 18" xfId="72" xr:uid="{00000000-0005-0000-0000-000009000000}"/>
    <cellStyle name="20% - Accent1 19" xfId="73" xr:uid="{00000000-0005-0000-0000-00000A000000}"/>
    <cellStyle name="20% - Accent1 2" xfId="74" xr:uid="{00000000-0005-0000-0000-00000B000000}"/>
    <cellStyle name="20% - Accent1 2 10" xfId="75" xr:uid="{00000000-0005-0000-0000-00000C000000}"/>
    <cellStyle name="20% - Accent1 2 11" xfId="76" xr:uid="{00000000-0005-0000-0000-00000D000000}"/>
    <cellStyle name="20% - Accent1 2 12" xfId="77" xr:uid="{00000000-0005-0000-0000-00000E000000}"/>
    <cellStyle name="20% - Accent1 2 13" xfId="78" xr:uid="{00000000-0005-0000-0000-00000F000000}"/>
    <cellStyle name="20% - Accent1 2 14" xfId="79" xr:uid="{00000000-0005-0000-0000-000010000000}"/>
    <cellStyle name="20% - Accent1 2 15" xfId="80" xr:uid="{00000000-0005-0000-0000-000011000000}"/>
    <cellStyle name="20% - Accent1 2 16" xfId="81" xr:uid="{00000000-0005-0000-0000-000012000000}"/>
    <cellStyle name="20% - Accent1 2 17" xfId="82" xr:uid="{00000000-0005-0000-0000-000013000000}"/>
    <cellStyle name="20% - Accent1 2 18" xfId="83" xr:uid="{00000000-0005-0000-0000-000014000000}"/>
    <cellStyle name="20% - Accent1 2 19" xfId="84" xr:uid="{00000000-0005-0000-0000-000015000000}"/>
    <cellStyle name="20% - Accent1 2 2" xfId="85" xr:uid="{00000000-0005-0000-0000-000016000000}"/>
    <cellStyle name="20% - Accent1 2 20" xfId="86" xr:uid="{00000000-0005-0000-0000-000017000000}"/>
    <cellStyle name="20% - Accent1 2 21" xfId="87" xr:uid="{00000000-0005-0000-0000-000018000000}"/>
    <cellStyle name="20% - Accent1 2 22" xfId="88" xr:uid="{00000000-0005-0000-0000-000019000000}"/>
    <cellStyle name="20% - Accent1 2 23" xfId="89" xr:uid="{00000000-0005-0000-0000-00001A000000}"/>
    <cellStyle name="20% - Accent1 2 24" xfId="90" xr:uid="{00000000-0005-0000-0000-00001B000000}"/>
    <cellStyle name="20% - Accent1 2 25" xfId="91" xr:uid="{00000000-0005-0000-0000-00001C000000}"/>
    <cellStyle name="20% - Accent1 2 26" xfId="92" xr:uid="{00000000-0005-0000-0000-00001D000000}"/>
    <cellStyle name="20% - Accent1 2 27" xfId="93" xr:uid="{00000000-0005-0000-0000-00001E000000}"/>
    <cellStyle name="20% - Accent1 2 3" xfId="94" xr:uid="{00000000-0005-0000-0000-00001F000000}"/>
    <cellStyle name="20% - Accent1 2 4" xfId="95" xr:uid="{00000000-0005-0000-0000-000020000000}"/>
    <cellStyle name="20% - Accent1 2 5" xfId="96" xr:uid="{00000000-0005-0000-0000-000021000000}"/>
    <cellStyle name="20% - Accent1 2 6" xfId="97" xr:uid="{00000000-0005-0000-0000-000022000000}"/>
    <cellStyle name="20% - Accent1 2 7" xfId="98" xr:uid="{00000000-0005-0000-0000-000023000000}"/>
    <cellStyle name="20% - Accent1 2 8" xfId="99" xr:uid="{00000000-0005-0000-0000-000024000000}"/>
    <cellStyle name="20% - Accent1 2 9" xfId="100" xr:uid="{00000000-0005-0000-0000-000025000000}"/>
    <cellStyle name="20% - Accent1 20" xfId="101" xr:uid="{00000000-0005-0000-0000-000026000000}"/>
    <cellStyle name="20% - Accent1 21" xfId="102" xr:uid="{00000000-0005-0000-0000-000027000000}"/>
    <cellStyle name="20% - Accent1 22" xfId="103" xr:uid="{00000000-0005-0000-0000-000028000000}"/>
    <cellStyle name="20% - Accent1 23" xfId="104" xr:uid="{00000000-0005-0000-0000-000029000000}"/>
    <cellStyle name="20% - Accent1 24" xfId="105" xr:uid="{00000000-0005-0000-0000-00002A000000}"/>
    <cellStyle name="20% - Accent1 25" xfId="106" xr:uid="{00000000-0005-0000-0000-00002B000000}"/>
    <cellStyle name="20% - Accent1 26" xfId="107" xr:uid="{00000000-0005-0000-0000-00002C000000}"/>
    <cellStyle name="20% - Accent1 27" xfId="108" xr:uid="{00000000-0005-0000-0000-00002D000000}"/>
    <cellStyle name="20% - Accent1 28" xfId="109" xr:uid="{00000000-0005-0000-0000-00002E000000}"/>
    <cellStyle name="20% - Accent1 3" xfId="110" xr:uid="{00000000-0005-0000-0000-00002F000000}"/>
    <cellStyle name="20% - Accent1 4" xfId="111" xr:uid="{00000000-0005-0000-0000-000030000000}"/>
    <cellStyle name="20% - Accent1 5" xfId="112" xr:uid="{00000000-0005-0000-0000-000031000000}"/>
    <cellStyle name="20% - Accent1 6" xfId="113" xr:uid="{00000000-0005-0000-0000-000032000000}"/>
    <cellStyle name="20% - Accent1 7" xfId="114" xr:uid="{00000000-0005-0000-0000-000033000000}"/>
    <cellStyle name="20% - Accent1 8" xfId="115" xr:uid="{00000000-0005-0000-0000-000034000000}"/>
    <cellStyle name="20% - Accent1 9" xfId="116" xr:uid="{00000000-0005-0000-0000-000035000000}"/>
    <cellStyle name="20% - Accent2" xfId="39" builtinId="34" customBuiltin="1"/>
    <cellStyle name="20% - Accent2 10" xfId="117" xr:uid="{00000000-0005-0000-0000-000037000000}"/>
    <cellStyle name="20% - Accent2 11" xfId="118" xr:uid="{00000000-0005-0000-0000-000038000000}"/>
    <cellStyle name="20% - Accent2 12" xfId="119" xr:uid="{00000000-0005-0000-0000-000039000000}"/>
    <cellStyle name="20% - Accent2 13" xfId="120" xr:uid="{00000000-0005-0000-0000-00003A000000}"/>
    <cellStyle name="20% - Accent2 14" xfId="121" xr:uid="{00000000-0005-0000-0000-00003B000000}"/>
    <cellStyle name="20% - Accent2 15" xfId="122" xr:uid="{00000000-0005-0000-0000-00003C000000}"/>
    <cellStyle name="20% - Accent2 16" xfId="123" xr:uid="{00000000-0005-0000-0000-00003D000000}"/>
    <cellStyle name="20% - Accent2 17" xfId="124" xr:uid="{00000000-0005-0000-0000-00003E000000}"/>
    <cellStyle name="20% - Accent2 18" xfId="125" xr:uid="{00000000-0005-0000-0000-00003F000000}"/>
    <cellStyle name="20% - Accent2 19" xfId="126" xr:uid="{00000000-0005-0000-0000-000040000000}"/>
    <cellStyle name="20% - Accent2 2" xfId="127" xr:uid="{00000000-0005-0000-0000-000041000000}"/>
    <cellStyle name="20% - Accent2 2 10" xfId="128" xr:uid="{00000000-0005-0000-0000-000042000000}"/>
    <cellStyle name="20% - Accent2 2 11" xfId="129" xr:uid="{00000000-0005-0000-0000-000043000000}"/>
    <cellStyle name="20% - Accent2 2 12" xfId="130" xr:uid="{00000000-0005-0000-0000-000044000000}"/>
    <cellStyle name="20% - Accent2 2 13" xfId="131" xr:uid="{00000000-0005-0000-0000-000045000000}"/>
    <cellStyle name="20% - Accent2 2 14" xfId="132" xr:uid="{00000000-0005-0000-0000-000046000000}"/>
    <cellStyle name="20% - Accent2 2 15" xfId="133" xr:uid="{00000000-0005-0000-0000-000047000000}"/>
    <cellStyle name="20% - Accent2 2 16" xfId="134" xr:uid="{00000000-0005-0000-0000-000048000000}"/>
    <cellStyle name="20% - Accent2 2 17" xfId="135" xr:uid="{00000000-0005-0000-0000-000049000000}"/>
    <cellStyle name="20% - Accent2 2 18" xfId="136" xr:uid="{00000000-0005-0000-0000-00004A000000}"/>
    <cellStyle name="20% - Accent2 2 19" xfId="137" xr:uid="{00000000-0005-0000-0000-00004B000000}"/>
    <cellStyle name="20% - Accent2 2 2" xfId="138" xr:uid="{00000000-0005-0000-0000-00004C000000}"/>
    <cellStyle name="20% - Accent2 2 20" xfId="139" xr:uid="{00000000-0005-0000-0000-00004D000000}"/>
    <cellStyle name="20% - Accent2 2 21" xfId="140" xr:uid="{00000000-0005-0000-0000-00004E000000}"/>
    <cellStyle name="20% - Accent2 2 22" xfId="141" xr:uid="{00000000-0005-0000-0000-00004F000000}"/>
    <cellStyle name="20% - Accent2 2 23" xfId="142" xr:uid="{00000000-0005-0000-0000-000050000000}"/>
    <cellStyle name="20% - Accent2 2 24" xfId="143" xr:uid="{00000000-0005-0000-0000-000051000000}"/>
    <cellStyle name="20% - Accent2 2 25" xfId="144" xr:uid="{00000000-0005-0000-0000-000052000000}"/>
    <cellStyle name="20% - Accent2 2 26" xfId="145" xr:uid="{00000000-0005-0000-0000-000053000000}"/>
    <cellStyle name="20% - Accent2 2 27" xfId="146" xr:uid="{00000000-0005-0000-0000-000054000000}"/>
    <cellStyle name="20% - Accent2 2 3" xfId="147" xr:uid="{00000000-0005-0000-0000-000055000000}"/>
    <cellStyle name="20% - Accent2 2 4" xfId="148" xr:uid="{00000000-0005-0000-0000-000056000000}"/>
    <cellStyle name="20% - Accent2 2 5" xfId="149" xr:uid="{00000000-0005-0000-0000-000057000000}"/>
    <cellStyle name="20% - Accent2 2 6" xfId="150" xr:uid="{00000000-0005-0000-0000-000058000000}"/>
    <cellStyle name="20% - Accent2 2 7" xfId="151" xr:uid="{00000000-0005-0000-0000-000059000000}"/>
    <cellStyle name="20% - Accent2 2 8" xfId="152" xr:uid="{00000000-0005-0000-0000-00005A000000}"/>
    <cellStyle name="20% - Accent2 2 9" xfId="153" xr:uid="{00000000-0005-0000-0000-00005B000000}"/>
    <cellStyle name="20% - Accent2 20" xfId="154" xr:uid="{00000000-0005-0000-0000-00005C000000}"/>
    <cellStyle name="20% - Accent2 21" xfId="155" xr:uid="{00000000-0005-0000-0000-00005D000000}"/>
    <cellStyle name="20% - Accent2 22" xfId="156" xr:uid="{00000000-0005-0000-0000-00005E000000}"/>
    <cellStyle name="20% - Accent2 23" xfId="157" xr:uid="{00000000-0005-0000-0000-00005F000000}"/>
    <cellStyle name="20% - Accent2 24" xfId="158" xr:uid="{00000000-0005-0000-0000-000060000000}"/>
    <cellStyle name="20% - Accent2 25" xfId="159" xr:uid="{00000000-0005-0000-0000-000061000000}"/>
    <cellStyle name="20% - Accent2 26" xfId="160" xr:uid="{00000000-0005-0000-0000-000062000000}"/>
    <cellStyle name="20% - Accent2 27" xfId="161" xr:uid="{00000000-0005-0000-0000-000063000000}"/>
    <cellStyle name="20% - Accent2 28" xfId="162" xr:uid="{00000000-0005-0000-0000-000064000000}"/>
    <cellStyle name="20% - Accent2 3" xfId="163" xr:uid="{00000000-0005-0000-0000-000065000000}"/>
    <cellStyle name="20% - Accent2 4" xfId="164" xr:uid="{00000000-0005-0000-0000-000066000000}"/>
    <cellStyle name="20% - Accent2 5" xfId="165" xr:uid="{00000000-0005-0000-0000-000067000000}"/>
    <cellStyle name="20% - Accent2 6" xfId="166" xr:uid="{00000000-0005-0000-0000-000068000000}"/>
    <cellStyle name="20% - Accent2 7" xfId="167" xr:uid="{00000000-0005-0000-0000-000069000000}"/>
    <cellStyle name="20% - Accent2 8" xfId="168" xr:uid="{00000000-0005-0000-0000-00006A000000}"/>
    <cellStyle name="20% - Accent2 9" xfId="169" xr:uid="{00000000-0005-0000-0000-00006B000000}"/>
    <cellStyle name="20% - Accent3" xfId="43" builtinId="38" customBuiltin="1"/>
    <cellStyle name="20% - Accent3 10" xfId="170" xr:uid="{00000000-0005-0000-0000-00006D000000}"/>
    <cellStyle name="20% - Accent3 11" xfId="171" xr:uid="{00000000-0005-0000-0000-00006E000000}"/>
    <cellStyle name="20% - Accent3 12" xfId="172" xr:uid="{00000000-0005-0000-0000-00006F000000}"/>
    <cellStyle name="20% - Accent3 13" xfId="173" xr:uid="{00000000-0005-0000-0000-000070000000}"/>
    <cellStyle name="20% - Accent3 14" xfId="174" xr:uid="{00000000-0005-0000-0000-000071000000}"/>
    <cellStyle name="20% - Accent3 15" xfId="175" xr:uid="{00000000-0005-0000-0000-000072000000}"/>
    <cellStyle name="20% - Accent3 16" xfId="176" xr:uid="{00000000-0005-0000-0000-000073000000}"/>
    <cellStyle name="20% - Accent3 17" xfId="177" xr:uid="{00000000-0005-0000-0000-000074000000}"/>
    <cellStyle name="20% - Accent3 18" xfId="178" xr:uid="{00000000-0005-0000-0000-000075000000}"/>
    <cellStyle name="20% - Accent3 19" xfId="179" xr:uid="{00000000-0005-0000-0000-000076000000}"/>
    <cellStyle name="20% - Accent3 2" xfId="180" xr:uid="{00000000-0005-0000-0000-000077000000}"/>
    <cellStyle name="20% - Accent3 2 10" xfId="181" xr:uid="{00000000-0005-0000-0000-000078000000}"/>
    <cellStyle name="20% - Accent3 2 11" xfId="182" xr:uid="{00000000-0005-0000-0000-000079000000}"/>
    <cellStyle name="20% - Accent3 2 12" xfId="183" xr:uid="{00000000-0005-0000-0000-00007A000000}"/>
    <cellStyle name="20% - Accent3 2 13" xfId="184" xr:uid="{00000000-0005-0000-0000-00007B000000}"/>
    <cellStyle name="20% - Accent3 2 14" xfId="185" xr:uid="{00000000-0005-0000-0000-00007C000000}"/>
    <cellStyle name="20% - Accent3 2 15" xfId="186" xr:uid="{00000000-0005-0000-0000-00007D000000}"/>
    <cellStyle name="20% - Accent3 2 16" xfId="187" xr:uid="{00000000-0005-0000-0000-00007E000000}"/>
    <cellStyle name="20% - Accent3 2 17" xfId="188" xr:uid="{00000000-0005-0000-0000-00007F000000}"/>
    <cellStyle name="20% - Accent3 2 18" xfId="189" xr:uid="{00000000-0005-0000-0000-000080000000}"/>
    <cellStyle name="20% - Accent3 2 19" xfId="190" xr:uid="{00000000-0005-0000-0000-000081000000}"/>
    <cellStyle name="20% - Accent3 2 2" xfId="191" xr:uid="{00000000-0005-0000-0000-000082000000}"/>
    <cellStyle name="20% - Accent3 2 20" xfId="192" xr:uid="{00000000-0005-0000-0000-000083000000}"/>
    <cellStyle name="20% - Accent3 2 21" xfId="193" xr:uid="{00000000-0005-0000-0000-000084000000}"/>
    <cellStyle name="20% - Accent3 2 22" xfId="194" xr:uid="{00000000-0005-0000-0000-000085000000}"/>
    <cellStyle name="20% - Accent3 2 23" xfId="195" xr:uid="{00000000-0005-0000-0000-000086000000}"/>
    <cellStyle name="20% - Accent3 2 24" xfId="196" xr:uid="{00000000-0005-0000-0000-000087000000}"/>
    <cellStyle name="20% - Accent3 2 25" xfId="197" xr:uid="{00000000-0005-0000-0000-000088000000}"/>
    <cellStyle name="20% - Accent3 2 26" xfId="198" xr:uid="{00000000-0005-0000-0000-000089000000}"/>
    <cellStyle name="20% - Accent3 2 27" xfId="199" xr:uid="{00000000-0005-0000-0000-00008A000000}"/>
    <cellStyle name="20% - Accent3 2 3" xfId="200" xr:uid="{00000000-0005-0000-0000-00008B000000}"/>
    <cellStyle name="20% - Accent3 2 4" xfId="201" xr:uid="{00000000-0005-0000-0000-00008C000000}"/>
    <cellStyle name="20% - Accent3 2 5" xfId="202" xr:uid="{00000000-0005-0000-0000-00008D000000}"/>
    <cellStyle name="20% - Accent3 2 6" xfId="203" xr:uid="{00000000-0005-0000-0000-00008E000000}"/>
    <cellStyle name="20% - Accent3 2 7" xfId="204" xr:uid="{00000000-0005-0000-0000-00008F000000}"/>
    <cellStyle name="20% - Accent3 2 8" xfId="205" xr:uid="{00000000-0005-0000-0000-000090000000}"/>
    <cellStyle name="20% - Accent3 2 9" xfId="206" xr:uid="{00000000-0005-0000-0000-000091000000}"/>
    <cellStyle name="20% - Accent3 20" xfId="207" xr:uid="{00000000-0005-0000-0000-000092000000}"/>
    <cellStyle name="20% - Accent3 21" xfId="208" xr:uid="{00000000-0005-0000-0000-000093000000}"/>
    <cellStyle name="20% - Accent3 22" xfId="209" xr:uid="{00000000-0005-0000-0000-000094000000}"/>
    <cellStyle name="20% - Accent3 23" xfId="210" xr:uid="{00000000-0005-0000-0000-000095000000}"/>
    <cellStyle name="20% - Accent3 24" xfId="211" xr:uid="{00000000-0005-0000-0000-000096000000}"/>
    <cellStyle name="20% - Accent3 25" xfId="212" xr:uid="{00000000-0005-0000-0000-000097000000}"/>
    <cellStyle name="20% - Accent3 26" xfId="213" xr:uid="{00000000-0005-0000-0000-000098000000}"/>
    <cellStyle name="20% - Accent3 27" xfId="214" xr:uid="{00000000-0005-0000-0000-000099000000}"/>
    <cellStyle name="20% - Accent3 28" xfId="215" xr:uid="{00000000-0005-0000-0000-00009A000000}"/>
    <cellStyle name="20% - Accent3 3" xfId="216" xr:uid="{00000000-0005-0000-0000-00009B000000}"/>
    <cellStyle name="20% - Accent3 4" xfId="217" xr:uid="{00000000-0005-0000-0000-00009C000000}"/>
    <cellStyle name="20% - Accent3 5" xfId="218" xr:uid="{00000000-0005-0000-0000-00009D000000}"/>
    <cellStyle name="20% - Accent3 6" xfId="219" xr:uid="{00000000-0005-0000-0000-00009E000000}"/>
    <cellStyle name="20% - Accent3 7" xfId="220" xr:uid="{00000000-0005-0000-0000-00009F000000}"/>
    <cellStyle name="20% - Accent3 8" xfId="221" xr:uid="{00000000-0005-0000-0000-0000A0000000}"/>
    <cellStyle name="20% - Accent3 9" xfId="222" xr:uid="{00000000-0005-0000-0000-0000A1000000}"/>
    <cellStyle name="20% - Accent4" xfId="47" builtinId="42" customBuiltin="1"/>
    <cellStyle name="20% - Accent4 10" xfId="223" xr:uid="{00000000-0005-0000-0000-0000A3000000}"/>
    <cellStyle name="20% - Accent4 11" xfId="224" xr:uid="{00000000-0005-0000-0000-0000A4000000}"/>
    <cellStyle name="20% - Accent4 12" xfId="225" xr:uid="{00000000-0005-0000-0000-0000A5000000}"/>
    <cellStyle name="20% - Accent4 13" xfId="226" xr:uid="{00000000-0005-0000-0000-0000A6000000}"/>
    <cellStyle name="20% - Accent4 14" xfId="227" xr:uid="{00000000-0005-0000-0000-0000A7000000}"/>
    <cellStyle name="20% - Accent4 15" xfId="228" xr:uid="{00000000-0005-0000-0000-0000A8000000}"/>
    <cellStyle name="20% - Accent4 16" xfId="229" xr:uid="{00000000-0005-0000-0000-0000A9000000}"/>
    <cellStyle name="20% - Accent4 17" xfId="230" xr:uid="{00000000-0005-0000-0000-0000AA000000}"/>
    <cellStyle name="20% - Accent4 18" xfId="231" xr:uid="{00000000-0005-0000-0000-0000AB000000}"/>
    <cellStyle name="20% - Accent4 19" xfId="232" xr:uid="{00000000-0005-0000-0000-0000AC000000}"/>
    <cellStyle name="20% - Accent4 2" xfId="233" xr:uid="{00000000-0005-0000-0000-0000AD000000}"/>
    <cellStyle name="20% - Accent4 2 10" xfId="234" xr:uid="{00000000-0005-0000-0000-0000AE000000}"/>
    <cellStyle name="20% - Accent4 2 11" xfId="235" xr:uid="{00000000-0005-0000-0000-0000AF000000}"/>
    <cellStyle name="20% - Accent4 2 12" xfId="236" xr:uid="{00000000-0005-0000-0000-0000B0000000}"/>
    <cellStyle name="20% - Accent4 2 13" xfId="237" xr:uid="{00000000-0005-0000-0000-0000B1000000}"/>
    <cellStyle name="20% - Accent4 2 14" xfId="238" xr:uid="{00000000-0005-0000-0000-0000B2000000}"/>
    <cellStyle name="20% - Accent4 2 15" xfId="239" xr:uid="{00000000-0005-0000-0000-0000B3000000}"/>
    <cellStyle name="20% - Accent4 2 16" xfId="240" xr:uid="{00000000-0005-0000-0000-0000B4000000}"/>
    <cellStyle name="20% - Accent4 2 17" xfId="241" xr:uid="{00000000-0005-0000-0000-0000B5000000}"/>
    <cellStyle name="20% - Accent4 2 18" xfId="242" xr:uid="{00000000-0005-0000-0000-0000B6000000}"/>
    <cellStyle name="20% - Accent4 2 19" xfId="243" xr:uid="{00000000-0005-0000-0000-0000B7000000}"/>
    <cellStyle name="20% - Accent4 2 2" xfId="244" xr:uid="{00000000-0005-0000-0000-0000B8000000}"/>
    <cellStyle name="20% - Accent4 2 20" xfId="245" xr:uid="{00000000-0005-0000-0000-0000B9000000}"/>
    <cellStyle name="20% - Accent4 2 21" xfId="246" xr:uid="{00000000-0005-0000-0000-0000BA000000}"/>
    <cellStyle name="20% - Accent4 2 22" xfId="247" xr:uid="{00000000-0005-0000-0000-0000BB000000}"/>
    <cellStyle name="20% - Accent4 2 23" xfId="248" xr:uid="{00000000-0005-0000-0000-0000BC000000}"/>
    <cellStyle name="20% - Accent4 2 24" xfId="249" xr:uid="{00000000-0005-0000-0000-0000BD000000}"/>
    <cellStyle name="20% - Accent4 2 25" xfId="250" xr:uid="{00000000-0005-0000-0000-0000BE000000}"/>
    <cellStyle name="20% - Accent4 2 26" xfId="251" xr:uid="{00000000-0005-0000-0000-0000BF000000}"/>
    <cellStyle name="20% - Accent4 2 27" xfId="252" xr:uid="{00000000-0005-0000-0000-0000C0000000}"/>
    <cellStyle name="20% - Accent4 2 3" xfId="253" xr:uid="{00000000-0005-0000-0000-0000C1000000}"/>
    <cellStyle name="20% - Accent4 2 4" xfId="254" xr:uid="{00000000-0005-0000-0000-0000C2000000}"/>
    <cellStyle name="20% - Accent4 2 5" xfId="255" xr:uid="{00000000-0005-0000-0000-0000C3000000}"/>
    <cellStyle name="20% - Accent4 2 6" xfId="256" xr:uid="{00000000-0005-0000-0000-0000C4000000}"/>
    <cellStyle name="20% - Accent4 2 7" xfId="257" xr:uid="{00000000-0005-0000-0000-0000C5000000}"/>
    <cellStyle name="20% - Accent4 2 8" xfId="258" xr:uid="{00000000-0005-0000-0000-0000C6000000}"/>
    <cellStyle name="20% - Accent4 2 9" xfId="259" xr:uid="{00000000-0005-0000-0000-0000C7000000}"/>
    <cellStyle name="20% - Accent4 20" xfId="260" xr:uid="{00000000-0005-0000-0000-0000C8000000}"/>
    <cellStyle name="20% - Accent4 21" xfId="261" xr:uid="{00000000-0005-0000-0000-0000C9000000}"/>
    <cellStyle name="20% - Accent4 22" xfId="262" xr:uid="{00000000-0005-0000-0000-0000CA000000}"/>
    <cellStyle name="20% - Accent4 23" xfId="263" xr:uid="{00000000-0005-0000-0000-0000CB000000}"/>
    <cellStyle name="20% - Accent4 24" xfId="264" xr:uid="{00000000-0005-0000-0000-0000CC000000}"/>
    <cellStyle name="20% - Accent4 25" xfId="265" xr:uid="{00000000-0005-0000-0000-0000CD000000}"/>
    <cellStyle name="20% - Accent4 26" xfId="266" xr:uid="{00000000-0005-0000-0000-0000CE000000}"/>
    <cellStyle name="20% - Accent4 27" xfId="267" xr:uid="{00000000-0005-0000-0000-0000CF000000}"/>
    <cellStyle name="20% - Accent4 28" xfId="268" xr:uid="{00000000-0005-0000-0000-0000D0000000}"/>
    <cellStyle name="20% - Accent4 3" xfId="269" xr:uid="{00000000-0005-0000-0000-0000D1000000}"/>
    <cellStyle name="20% - Accent4 4" xfId="270" xr:uid="{00000000-0005-0000-0000-0000D2000000}"/>
    <cellStyle name="20% - Accent4 5" xfId="271" xr:uid="{00000000-0005-0000-0000-0000D3000000}"/>
    <cellStyle name="20% - Accent4 6" xfId="272" xr:uid="{00000000-0005-0000-0000-0000D4000000}"/>
    <cellStyle name="20% - Accent4 7" xfId="273" xr:uid="{00000000-0005-0000-0000-0000D5000000}"/>
    <cellStyle name="20% - Accent4 8" xfId="274" xr:uid="{00000000-0005-0000-0000-0000D6000000}"/>
    <cellStyle name="20% - Accent4 9" xfId="275" xr:uid="{00000000-0005-0000-0000-0000D7000000}"/>
    <cellStyle name="20% - Accent5" xfId="51" builtinId="46" customBuiltin="1"/>
    <cellStyle name="20% - Accent5 10" xfId="276" xr:uid="{00000000-0005-0000-0000-0000D9000000}"/>
    <cellStyle name="20% - Accent5 11" xfId="277" xr:uid="{00000000-0005-0000-0000-0000DA000000}"/>
    <cellStyle name="20% - Accent5 12" xfId="278" xr:uid="{00000000-0005-0000-0000-0000DB000000}"/>
    <cellStyle name="20% - Accent5 13" xfId="279" xr:uid="{00000000-0005-0000-0000-0000DC000000}"/>
    <cellStyle name="20% - Accent5 14" xfId="280" xr:uid="{00000000-0005-0000-0000-0000DD000000}"/>
    <cellStyle name="20% - Accent5 15" xfId="281" xr:uid="{00000000-0005-0000-0000-0000DE000000}"/>
    <cellStyle name="20% - Accent5 16" xfId="282" xr:uid="{00000000-0005-0000-0000-0000DF000000}"/>
    <cellStyle name="20% - Accent5 17" xfId="283" xr:uid="{00000000-0005-0000-0000-0000E0000000}"/>
    <cellStyle name="20% - Accent5 18" xfId="284" xr:uid="{00000000-0005-0000-0000-0000E1000000}"/>
    <cellStyle name="20% - Accent5 19" xfId="285" xr:uid="{00000000-0005-0000-0000-0000E2000000}"/>
    <cellStyle name="20% - Accent5 2" xfId="286" xr:uid="{00000000-0005-0000-0000-0000E3000000}"/>
    <cellStyle name="20% - Accent5 2 10" xfId="287" xr:uid="{00000000-0005-0000-0000-0000E4000000}"/>
    <cellStyle name="20% - Accent5 2 11" xfId="288" xr:uid="{00000000-0005-0000-0000-0000E5000000}"/>
    <cellStyle name="20% - Accent5 2 12" xfId="289" xr:uid="{00000000-0005-0000-0000-0000E6000000}"/>
    <cellStyle name="20% - Accent5 2 13" xfId="290" xr:uid="{00000000-0005-0000-0000-0000E7000000}"/>
    <cellStyle name="20% - Accent5 2 14" xfId="291" xr:uid="{00000000-0005-0000-0000-0000E8000000}"/>
    <cellStyle name="20% - Accent5 2 15" xfId="292" xr:uid="{00000000-0005-0000-0000-0000E9000000}"/>
    <cellStyle name="20% - Accent5 2 16" xfId="293" xr:uid="{00000000-0005-0000-0000-0000EA000000}"/>
    <cellStyle name="20% - Accent5 2 17" xfId="294" xr:uid="{00000000-0005-0000-0000-0000EB000000}"/>
    <cellStyle name="20% - Accent5 2 18" xfId="295" xr:uid="{00000000-0005-0000-0000-0000EC000000}"/>
    <cellStyle name="20% - Accent5 2 19" xfId="296" xr:uid="{00000000-0005-0000-0000-0000ED000000}"/>
    <cellStyle name="20% - Accent5 2 2" xfId="297" xr:uid="{00000000-0005-0000-0000-0000EE000000}"/>
    <cellStyle name="20% - Accent5 2 20" xfId="298" xr:uid="{00000000-0005-0000-0000-0000EF000000}"/>
    <cellStyle name="20% - Accent5 2 21" xfId="299" xr:uid="{00000000-0005-0000-0000-0000F0000000}"/>
    <cellStyle name="20% - Accent5 2 22" xfId="300" xr:uid="{00000000-0005-0000-0000-0000F1000000}"/>
    <cellStyle name="20% - Accent5 2 23" xfId="301" xr:uid="{00000000-0005-0000-0000-0000F2000000}"/>
    <cellStyle name="20% - Accent5 2 24" xfId="302" xr:uid="{00000000-0005-0000-0000-0000F3000000}"/>
    <cellStyle name="20% - Accent5 2 25" xfId="303" xr:uid="{00000000-0005-0000-0000-0000F4000000}"/>
    <cellStyle name="20% - Accent5 2 26" xfId="304" xr:uid="{00000000-0005-0000-0000-0000F5000000}"/>
    <cellStyle name="20% - Accent5 2 27" xfId="305" xr:uid="{00000000-0005-0000-0000-0000F6000000}"/>
    <cellStyle name="20% - Accent5 2 3" xfId="306" xr:uid="{00000000-0005-0000-0000-0000F7000000}"/>
    <cellStyle name="20% - Accent5 2 4" xfId="307" xr:uid="{00000000-0005-0000-0000-0000F8000000}"/>
    <cellStyle name="20% - Accent5 2 5" xfId="308" xr:uid="{00000000-0005-0000-0000-0000F9000000}"/>
    <cellStyle name="20% - Accent5 2 6" xfId="309" xr:uid="{00000000-0005-0000-0000-0000FA000000}"/>
    <cellStyle name="20% - Accent5 2 7" xfId="310" xr:uid="{00000000-0005-0000-0000-0000FB000000}"/>
    <cellStyle name="20% - Accent5 2 8" xfId="311" xr:uid="{00000000-0005-0000-0000-0000FC000000}"/>
    <cellStyle name="20% - Accent5 2 9" xfId="312" xr:uid="{00000000-0005-0000-0000-0000FD000000}"/>
    <cellStyle name="20% - Accent5 20" xfId="313" xr:uid="{00000000-0005-0000-0000-0000FE000000}"/>
    <cellStyle name="20% - Accent5 21" xfId="314" xr:uid="{00000000-0005-0000-0000-0000FF000000}"/>
    <cellStyle name="20% - Accent5 22" xfId="315" xr:uid="{00000000-0005-0000-0000-000000010000}"/>
    <cellStyle name="20% - Accent5 23" xfId="316" xr:uid="{00000000-0005-0000-0000-000001010000}"/>
    <cellStyle name="20% - Accent5 24" xfId="317" xr:uid="{00000000-0005-0000-0000-000002010000}"/>
    <cellStyle name="20% - Accent5 25" xfId="318" xr:uid="{00000000-0005-0000-0000-000003010000}"/>
    <cellStyle name="20% - Accent5 26" xfId="319" xr:uid="{00000000-0005-0000-0000-000004010000}"/>
    <cellStyle name="20% - Accent5 27" xfId="320" xr:uid="{00000000-0005-0000-0000-000005010000}"/>
    <cellStyle name="20% - Accent5 28" xfId="321" xr:uid="{00000000-0005-0000-0000-000006010000}"/>
    <cellStyle name="20% - Accent5 3" xfId="322" xr:uid="{00000000-0005-0000-0000-000007010000}"/>
    <cellStyle name="20% - Accent5 4" xfId="323" xr:uid="{00000000-0005-0000-0000-000008010000}"/>
    <cellStyle name="20% - Accent5 5" xfId="324" xr:uid="{00000000-0005-0000-0000-000009010000}"/>
    <cellStyle name="20% - Accent5 6" xfId="325" xr:uid="{00000000-0005-0000-0000-00000A010000}"/>
    <cellStyle name="20% - Accent5 7" xfId="326" xr:uid="{00000000-0005-0000-0000-00000B010000}"/>
    <cellStyle name="20% - Accent5 8" xfId="327" xr:uid="{00000000-0005-0000-0000-00000C010000}"/>
    <cellStyle name="20% - Accent5 9" xfId="328" xr:uid="{00000000-0005-0000-0000-00000D010000}"/>
    <cellStyle name="20% - Accent6" xfId="55" builtinId="50" customBuiltin="1"/>
    <cellStyle name="20% - Accent6 10" xfId="329" xr:uid="{00000000-0005-0000-0000-00000F010000}"/>
    <cellStyle name="20% - Accent6 11" xfId="330" xr:uid="{00000000-0005-0000-0000-000010010000}"/>
    <cellStyle name="20% - Accent6 12" xfId="331" xr:uid="{00000000-0005-0000-0000-000011010000}"/>
    <cellStyle name="20% - Accent6 13" xfId="332" xr:uid="{00000000-0005-0000-0000-000012010000}"/>
    <cellStyle name="20% - Accent6 14" xfId="333" xr:uid="{00000000-0005-0000-0000-000013010000}"/>
    <cellStyle name="20% - Accent6 15" xfId="334" xr:uid="{00000000-0005-0000-0000-000014010000}"/>
    <cellStyle name="20% - Accent6 16" xfId="335" xr:uid="{00000000-0005-0000-0000-000015010000}"/>
    <cellStyle name="20% - Accent6 17" xfId="336" xr:uid="{00000000-0005-0000-0000-000016010000}"/>
    <cellStyle name="20% - Accent6 18" xfId="337" xr:uid="{00000000-0005-0000-0000-000017010000}"/>
    <cellStyle name="20% - Accent6 19" xfId="338" xr:uid="{00000000-0005-0000-0000-000018010000}"/>
    <cellStyle name="20% - Accent6 2" xfId="339" xr:uid="{00000000-0005-0000-0000-000019010000}"/>
    <cellStyle name="20% - Accent6 2 10" xfId="340" xr:uid="{00000000-0005-0000-0000-00001A010000}"/>
    <cellStyle name="20% - Accent6 2 11" xfId="341" xr:uid="{00000000-0005-0000-0000-00001B010000}"/>
    <cellStyle name="20% - Accent6 2 12" xfId="342" xr:uid="{00000000-0005-0000-0000-00001C010000}"/>
    <cellStyle name="20% - Accent6 2 13" xfId="343" xr:uid="{00000000-0005-0000-0000-00001D010000}"/>
    <cellStyle name="20% - Accent6 2 14" xfId="344" xr:uid="{00000000-0005-0000-0000-00001E010000}"/>
    <cellStyle name="20% - Accent6 2 15" xfId="345" xr:uid="{00000000-0005-0000-0000-00001F010000}"/>
    <cellStyle name="20% - Accent6 2 16" xfId="346" xr:uid="{00000000-0005-0000-0000-000020010000}"/>
    <cellStyle name="20% - Accent6 2 17" xfId="347" xr:uid="{00000000-0005-0000-0000-000021010000}"/>
    <cellStyle name="20% - Accent6 2 18" xfId="348" xr:uid="{00000000-0005-0000-0000-000022010000}"/>
    <cellStyle name="20% - Accent6 2 19" xfId="349" xr:uid="{00000000-0005-0000-0000-000023010000}"/>
    <cellStyle name="20% - Accent6 2 2" xfId="350" xr:uid="{00000000-0005-0000-0000-000024010000}"/>
    <cellStyle name="20% - Accent6 2 20" xfId="351" xr:uid="{00000000-0005-0000-0000-000025010000}"/>
    <cellStyle name="20% - Accent6 2 21" xfId="352" xr:uid="{00000000-0005-0000-0000-000026010000}"/>
    <cellStyle name="20% - Accent6 2 22" xfId="353" xr:uid="{00000000-0005-0000-0000-000027010000}"/>
    <cellStyle name="20% - Accent6 2 23" xfId="354" xr:uid="{00000000-0005-0000-0000-000028010000}"/>
    <cellStyle name="20% - Accent6 2 24" xfId="355" xr:uid="{00000000-0005-0000-0000-000029010000}"/>
    <cellStyle name="20% - Accent6 2 25" xfId="356" xr:uid="{00000000-0005-0000-0000-00002A010000}"/>
    <cellStyle name="20% - Accent6 2 26" xfId="357" xr:uid="{00000000-0005-0000-0000-00002B010000}"/>
    <cellStyle name="20% - Accent6 2 27" xfId="358" xr:uid="{00000000-0005-0000-0000-00002C010000}"/>
    <cellStyle name="20% - Accent6 2 3" xfId="359" xr:uid="{00000000-0005-0000-0000-00002D010000}"/>
    <cellStyle name="20% - Accent6 2 4" xfId="360" xr:uid="{00000000-0005-0000-0000-00002E010000}"/>
    <cellStyle name="20% - Accent6 2 5" xfId="361" xr:uid="{00000000-0005-0000-0000-00002F010000}"/>
    <cellStyle name="20% - Accent6 2 6" xfId="362" xr:uid="{00000000-0005-0000-0000-000030010000}"/>
    <cellStyle name="20% - Accent6 2 7" xfId="363" xr:uid="{00000000-0005-0000-0000-000031010000}"/>
    <cellStyle name="20% - Accent6 2 8" xfId="364" xr:uid="{00000000-0005-0000-0000-000032010000}"/>
    <cellStyle name="20% - Accent6 2 9" xfId="365" xr:uid="{00000000-0005-0000-0000-000033010000}"/>
    <cellStyle name="20% - Accent6 20" xfId="366" xr:uid="{00000000-0005-0000-0000-000034010000}"/>
    <cellStyle name="20% - Accent6 21" xfId="367" xr:uid="{00000000-0005-0000-0000-000035010000}"/>
    <cellStyle name="20% - Accent6 22" xfId="368" xr:uid="{00000000-0005-0000-0000-000036010000}"/>
    <cellStyle name="20% - Accent6 23" xfId="369" xr:uid="{00000000-0005-0000-0000-000037010000}"/>
    <cellStyle name="20% - Accent6 24" xfId="370" xr:uid="{00000000-0005-0000-0000-000038010000}"/>
    <cellStyle name="20% - Accent6 25" xfId="371" xr:uid="{00000000-0005-0000-0000-000039010000}"/>
    <cellStyle name="20% - Accent6 26" xfId="372" xr:uid="{00000000-0005-0000-0000-00003A010000}"/>
    <cellStyle name="20% - Accent6 27" xfId="373" xr:uid="{00000000-0005-0000-0000-00003B010000}"/>
    <cellStyle name="20% - Accent6 28" xfId="374" xr:uid="{00000000-0005-0000-0000-00003C010000}"/>
    <cellStyle name="20% - Accent6 3" xfId="375" xr:uid="{00000000-0005-0000-0000-00003D010000}"/>
    <cellStyle name="20% - Accent6 4" xfId="376" xr:uid="{00000000-0005-0000-0000-00003E010000}"/>
    <cellStyle name="20% - Accent6 5" xfId="377" xr:uid="{00000000-0005-0000-0000-00003F010000}"/>
    <cellStyle name="20% - Accent6 6" xfId="378" xr:uid="{00000000-0005-0000-0000-000040010000}"/>
    <cellStyle name="20% - Accent6 7" xfId="379" xr:uid="{00000000-0005-0000-0000-000041010000}"/>
    <cellStyle name="20% - Accent6 8" xfId="380" xr:uid="{00000000-0005-0000-0000-000042010000}"/>
    <cellStyle name="20% - Accent6 9" xfId="381" xr:uid="{00000000-0005-0000-0000-000043010000}"/>
    <cellStyle name="40% - Accent1" xfId="36" builtinId="31" customBuiltin="1"/>
    <cellStyle name="40% - Accent1 10" xfId="382" xr:uid="{00000000-0005-0000-0000-000045010000}"/>
    <cellStyle name="40% - Accent1 11" xfId="383" xr:uid="{00000000-0005-0000-0000-000046010000}"/>
    <cellStyle name="40% - Accent1 12" xfId="384" xr:uid="{00000000-0005-0000-0000-000047010000}"/>
    <cellStyle name="40% - Accent1 13" xfId="385" xr:uid="{00000000-0005-0000-0000-000048010000}"/>
    <cellStyle name="40% - Accent1 14" xfId="386" xr:uid="{00000000-0005-0000-0000-000049010000}"/>
    <cellStyle name="40% - Accent1 15" xfId="387" xr:uid="{00000000-0005-0000-0000-00004A010000}"/>
    <cellStyle name="40% - Accent1 16" xfId="388" xr:uid="{00000000-0005-0000-0000-00004B010000}"/>
    <cellStyle name="40% - Accent1 17" xfId="389" xr:uid="{00000000-0005-0000-0000-00004C010000}"/>
    <cellStyle name="40% - Accent1 18" xfId="390" xr:uid="{00000000-0005-0000-0000-00004D010000}"/>
    <cellStyle name="40% - Accent1 19" xfId="391" xr:uid="{00000000-0005-0000-0000-00004E010000}"/>
    <cellStyle name="40% - Accent1 2" xfId="392" xr:uid="{00000000-0005-0000-0000-00004F010000}"/>
    <cellStyle name="40% - Accent1 2 10" xfId="393" xr:uid="{00000000-0005-0000-0000-000050010000}"/>
    <cellStyle name="40% - Accent1 2 11" xfId="394" xr:uid="{00000000-0005-0000-0000-000051010000}"/>
    <cellStyle name="40% - Accent1 2 12" xfId="395" xr:uid="{00000000-0005-0000-0000-000052010000}"/>
    <cellStyle name="40% - Accent1 2 13" xfId="396" xr:uid="{00000000-0005-0000-0000-000053010000}"/>
    <cellStyle name="40% - Accent1 2 14" xfId="397" xr:uid="{00000000-0005-0000-0000-000054010000}"/>
    <cellStyle name="40% - Accent1 2 15" xfId="398" xr:uid="{00000000-0005-0000-0000-000055010000}"/>
    <cellStyle name="40% - Accent1 2 16" xfId="399" xr:uid="{00000000-0005-0000-0000-000056010000}"/>
    <cellStyle name="40% - Accent1 2 17" xfId="400" xr:uid="{00000000-0005-0000-0000-000057010000}"/>
    <cellStyle name="40% - Accent1 2 18" xfId="401" xr:uid="{00000000-0005-0000-0000-000058010000}"/>
    <cellStyle name="40% - Accent1 2 19" xfId="402" xr:uid="{00000000-0005-0000-0000-000059010000}"/>
    <cellStyle name="40% - Accent1 2 2" xfId="403" xr:uid="{00000000-0005-0000-0000-00005A010000}"/>
    <cellStyle name="40% - Accent1 2 20" xfId="404" xr:uid="{00000000-0005-0000-0000-00005B010000}"/>
    <cellStyle name="40% - Accent1 2 21" xfId="405" xr:uid="{00000000-0005-0000-0000-00005C010000}"/>
    <cellStyle name="40% - Accent1 2 22" xfId="406" xr:uid="{00000000-0005-0000-0000-00005D010000}"/>
    <cellStyle name="40% - Accent1 2 23" xfId="407" xr:uid="{00000000-0005-0000-0000-00005E010000}"/>
    <cellStyle name="40% - Accent1 2 24" xfId="408" xr:uid="{00000000-0005-0000-0000-00005F010000}"/>
    <cellStyle name="40% - Accent1 2 25" xfId="409" xr:uid="{00000000-0005-0000-0000-000060010000}"/>
    <cellStyle name="40% - Accent1 2 26" xfId="410" xr:uid="{00000000-0005-0000-0000-000061010000}"/>
    <cellStyle name="40% - Accent1 2 27" xfId="411" xr:uid="{00000000-0005-0000-0000-000062010000}"/>
    <cellStyle name="40% - Accent1 2 3" xfId="412" xr:uid="{00000000-0005-0000-0000-000063010000}"/>
    <cellStyle name="40% - Accent1 2 4" xfId="413" xr:uid="{00000000-0005-0000-0000-000064010000}"/>
    <cellStyle name="40% - Accent1 2 5" xfId="414" xr:uid="{00000000-0005-0000-0000-000065010000}"/>
    <cellStyle name="40% - Accent1 2 6" xfId="415" xr:uid="{00000000-0005-0000-0000-000066010000}"/>
    <cellStyle name="40% - Accent1 2 7" xfId="416" xr:uid="{00000000-0005-0000-0000-000067010000}"/>
    <cellStyle name="40% - Accent1 2 8" xfId="417" xr:uid="{00000000-0005-0000-0000-000068010000}"/>
    <cellStyle name="40% - Accent1 2 9" xfId="418" xr:uid="{00000000-0005-0000-0000-000069010000}"/>
    <cellStyle name="40% - Accent1 20" xfId="419" xr:uid="{00000000-0005-0000-0000-00006A010000}"/>
    <cellStyle name="40% - Accent1 21" xfId="420" xr:uid="{00000000-0005-0000-0000-00006B010000}"/>
    <cellStyle name="40% - Accent1 22" xfId="421" xr:uid="{00000000-0005-0000-0000-00006C010000}"/>
    <cellStyle name="40% - Accent1 23" xfId="422" xr:uid="{00000000-0005-0000-0000-00006D010000}"/>
    <cellStyle name="40% - Accent1 24" xfId="423" xr:uid="{00000000-0005-0000-0000-00006E010000}"/>
    <cellStyle name="40% - Accent1 25" xfId="424" xr:uid="{00000000-0005-0000-0000-00006F010000}"/>
    <cellStyle name="40% - Accent1 26" xfId="425" xr:uid="{00000000-0005-0000-0000-000070010000}"/>
    <cellStyle name="40% - Accent1 27" xfId="426" xr:uid="{00000000-0005-0000-0000-000071010000}"/>
    <cellStyle name="40% - Accent1 28" xfId="427" xr:uid="{00000000-0005-0000-0000-000072010000}"/>
    <cellStyle name="40% - Accent1 3" xfId="428" xr:uid="{00000000-0005-0000-0000-000073010000}"/>
    <cellStyle name="40% - Accent1 4" xfId="429" xr:uid="{00000000-0005-0000-0000-000074010000}"/>
    <cellStyle name="40% - Accent1 5" xfId="430" xr:uid="{00000000-0005-0000-0000-000075010000}"/>
    <cellStyle name="40% - Accent1 6" xfId="431" xr:uid="{00000000-0005-0000-0000-000076010000}"/>
    <cellStyle name="40% - Accent1 7" xfId="432" xr:uid="{00000000-0005-0000-0000-000077010000}"/>
    <cellStyle name="40% - Accent1 8" xfId="433" xr:uid="{00000000-0005-0000-0000-000078010000}"/>
    <cellStyle name="40% - Accent1 9" xfId="434" xr:uid="{00000000-0005-0000-0000-000079010000}"/>
    <cellStyle name="40% - Accent2" xfId="40" builtinId="35" customBuiltin="1"/>
    <cellStyle name="40% - Accent2 10" xfId="435" xr:uid="{00000000-0005-0000-0000-00007B010000}"/>
    <cellStyle name="40% - Accent2 11" xfId="436" xr:uid="{00000000-0005-0000-0000-00007C010000}"/>
    <cellStyle name="40% - Accent2 12" xfId="437" xr:uid="{00000000-0005-0000-0000-00007D010000}"/>
    <cellStyle name="40% - Accent2 13" xfId="438" xr:uid="{00000000-0005-0000-0000-00007E010000}"/>
    <cellStyle name="40% - Accent2 14" xfId="439" xr:uid="{00000000-0005-0000-0000-00007F010000}"/>
    <cellStyle name="40% - Accent2 15" xfId="440" xr:uid="{00000000-0005-0000-0000-000080010000}"/>
    <cellStyle name="40% - Accent2 16" xfId="441" xr:uid="{00000000-0005-0000-0000-000081010000}"/>
    <cellStyle name="40% - Accent2 17" xfId="442" xr:uid="{00000000-0005-0000-0000-000082010000}"/>
    <cellStyle name="40% - Accent2 18" xfId="443" xr:uid="{00000000-0005-0000-0000-000083010000}"/>
    <cellStyle name="40% - Accent2 19" xfId="444" xr:uid="{00000000-0005-0000-0000-000084010000}"/>
    <cellStyle name="40% - Accent2 2" xfId="445" xr:uid="{00000000-0005-0000-0000-000085010000}"/>
    <cellStyle name="40% - Accent2 2 10" xfId="446" xr:uid="{00000000-0005-0000-0000-000086010000}"/>
    <cellStyle name="40% - Accent2 2 11" xfId="447" xr:uid="{00000000-0005-0000-0000-000087010000}"/>
    <cellStyle name="40% - Accent2 2 12" xfId="448" xr:uid="{00000000-0005-0000-0000-000088010000}"/>
    <cellStyle name="40% - Accent2 2 13" xfId="449" xr:uid="{00000000-0005-0000-0000-000089010000}"/>
    <cellStyle name="40% - Accent2 2 14" xfId="450" xr:uid="{00000000-0005-0000-0000-00008A010000}"/>
    <cellStyle name="40% - Accent2 2 15" xfId="451" xr:uid="{00000000-0005-0000-0000-00008B010000}"/>
    <cellStyle name="40% - Accent2 2 16" xfId="452" xr:uid="{00000000-0005-0000-0000-00008C010000}"/>
    <cellStyle name="40% - Accent2 2 17" xfId="453" xr:uid="{00000000-0005-0000-0000-00008D010000}"/>
    <cellStyle name="40% - Accent2 2 18" xfId="454" xr:uid="{00000000-0005-0000-0000-00008E010000}"/>
    <cellStyle name="40% - Accent2 2 19" xfId="455" xr:uid="{00000000-0005-0000-0000-00008F010000}"/>
    <cellStyle name="40% - Accent2 2 2" xfId="456" xr:uid="{00000000-0005-0000-0000-000090010000}"/>
    <cellStyle name="40% - Accent2 2 20" xfId="457" xr:uid="{00000000-0005-0000-0000-000091010000}"/>
    <cellStyle name="40% - Accent2 2 21" xfId="458" xr:uid="{00000000-0005-0000-0000-000092010000}"/>
    <cellStyle name="40% - Accent2 2 22" xfId="459" xr:uid="{00000000-0005-0000-0000-000093010000}"/>
    <cellStyle name="40% - Accent2 2 23" xfId="460" xr:uid="{00000000-0005-0000-0000-000094010000}"/>
    <cellStyle name="40% - Accent2 2 24" xfId="461" xr:uid="{00000000-0005-0000-0000-000095010000}"/>
    <cellStyle name="40% - Accent2 2 25" xfId="462" xr:uid="{00000000-0005-0000-0000-000096010000}"/>
    <cellStyle name="40% - Accent2 2 26" xfId="463" xr:uid="{00000000-0005-0000-0000-000097010000}"/>
    <cellStyle name="40% - Accent2 2 27" xfId="464" xr:uid="{00000000-0005-0000-0000-000098010000}"/>
    <cellStyle name="40% - Accent2 2 3" xfId="465" xr:uid="{00000000-0005-0000-0000-000099010000}"/>
    <cellStyle name="40% - Accent2 2 4" xfId="466" xr:uid="{00000000-0005-0000-0000-00009A010000}"/>
    <cellStyle name="40% - Accent2 2 5" xfId="467" xr:uid="{00000000-0005-0000-0000-00009B010000}"/>
    <cellStyle name="40% - Accent2 2 6" xfId="468" xr:uid="{00000000-0005-0000-0000-00009C010000}"/>
    <cellStyle name="40% - Accent2 2 7" xfId="469" xr:uid="{00000000-0005-0000-0000-00009D010000}"/>
    <cellStyle name="40% - Accent2 2 8" xfId="470" xr:uid="{00000000-0005-0000-0000-00009E010000}"/>
    <cellStyle name="40% - Accent2 2 9" xfId="471" xr:uid="{00000000-0005-0000-0000-00009F010000}"/>
    <cellStyle name="40% - Accent2 20" xfId="472" xr:uid="{00000000-0005-0000-0000-0000A0010000}"/>
    <cellStyle name="40% - Accent2 21" xfId="473" xr:uid="{00000000-0005-0000-0000-0000A1010000}"/>
    <cellStyle name="40% - Accent2 22" xfId="474" xr:uid="{00000000-0005-0000-0000-0000A2010000}"/>
    <cellStyle name="40% - Accent2 23" xfId="475" xr:uid="{00000000-0005-0000-0000-0000A3010000}"/>
    <cellStyle name="40% - Accent2 24" xfId="476" xr:uid="{00000000-0005-0000-0000-0000A4010000}"/>
    <cellStyle name="40% - Accent2 25" xfId="477" xr:uid="{00000000-0005-0000-0000-0000A5010000}"/>
    <cellStyle name="40% - Accent2 26" xfId="478" xr:uid="{00000000-0005-0000-0000-0000A6010000}"/>
    <cellStyle name="40% - Accent2 27" xfId="479" xr:uid="{00000000-0005-0000-0000-0000A7010000}"/>
    <cellStyle name="40% - Accent2 28" xfId="480" xr:uid="{00000000-0005-0000-0000-0000A8010000}"/>
    <cellStyle name="40% - Accent2 3" xfId="481" xr:uid="{00000000-0005-0000-0000-0000A9010000}"/>
    <cellStyle name="40% - Accent2 4" xfId="482" xr:uid="{00000000-0005-0000-0000-0000AA010000}"/>
    <cellStyle name="40% - Accent2 5" xfId="483" xr:uid="{00000000-0005-0000-0000-0000AB010000}"/>
    <cellStyle name="40% - Accent2 6" xfId="484" xr:uid="{00000000-0005-0000-0000-0000AC010000}"/>
    <cellStyle name="40% - Accent2 7" xfId="485" xr:uid="{00000000-0005-0000-0000-0000AD010000}"/>
    <cellStyle name="40% - Accent2 8" xfId="486" xr:uid="{00000000-0005-0000-0000-0000AE010000}"/>
    <cellStyle name="40% - Accent2 9" xfId="487" xr:uid="{00000000-0005-0000-0000-0000AF010000}"/>
    <cellStyle name="40% - Accent3" xfId="44" builtinId="39" customBuiltin="1"/>
    <cellStyle name="40% - Accent3 10" xfId="488" xr:uid="{00000000-0005-0000-0000-0000B1010000}"/>
    <cellStyle name="40% - Accent3 11" xfId="489" xr:uid="{00000000-0005-0000-0000-0000B2010000}"/>
    <cellStyle name="40% - Accent3 12" xfId="490" xr:uid="{00000000-0005-0000-0000-0000B3010000}"/>
    <cellStyle name="40% - Accent3 13" xfId="491" xr:uid="{00000000-0005-0000-0000-0000B4010000}"/>
    <cellStyle name="40% - Accent3 14" xfId="492" xr:uid="{00000000-0005-0000-0000-0000B5010000}"/>
    <cellStyle name="40% - Accent3 15" xfId="493" xr:uid="{00000000-0005-0000-0000-0000B6010000}"/>
    <cellStyle name="40% - Accent3 16" xfId="494" xr:uid="{00000000-0005-0000-0000-0000B7010000}"/>
    <cellStyle name="40% - Accent3 17" xfId="495" xr:uid="{00000000-0005-0000-0000-0000B8010000}"/>
    <cellStyle name="40% - Accent3 18" xfId="496" xr:uid="{00000000-0005-0000-0000-0000B9010000}"/>
    <cellStyle name="40% - Accent3 19" xfId="497" xr:uid="{00000000-0005-0000-0000-0000BA010000}"/>
    <cellStyle name="40% - Accent3 2" xfId="498" xr:uid="{00000000-0005-0000-0000-0000BB010000}"/>
    <cellStyle name="40% - Accent3 2 10" xfId="499" xr:uid="{00000000-0005-0000-0000-0000BC010000}"/>
    <cellStyle name="40% - Accent3 2 11" xfId="500" xr:uid="{00000000-0005-0000-0000-0000BD010000}"/>
    <cellStyle name="40% - Accent3 2 12" xfId="501" xr:uid="{00000000-0005-0000-0000-0000BE010000}"/>
    <cellStyle name="40% - Accent3 2 13" xfId="502" xr:uid="{00000000-0005-0000-0000-0000BF010000}"/>
    <cellStyle name="40% - Accent3 2 14" xfId="503" xr:uid="{00000000-0005-0000-0000-0000C0010000}"/>
    <cellStyle name="40% - Accent3 2 15" xfId="504" xr:uid="{00000000-0005-0000-0000-0000C1010000}"/>
    <cellStyle name="40% - Accent3 2 16" xfId="505" xr:uid="{00000000-0005-0000-0000-0000C2010000}"/>
    <cellStyle name="40% - Accent3 2 17" xfId="506" xr:uid="{00000000-0005-0000-0000-0000C3010000}"/>
    <cellStyle name="40% - Accent3 2 18" xfId="507" xr:uid="{00000000-0005-0000-0000-0000C4010000}"/>
    <cellStyle name="40% - Accent3 2 19" xfId="508" xr:uid="{00000000-0005-0000-0000-0000C5010000}"/>
    <cellStyle name="40% - Accent3 2 2" xfId="509" xr:uid="{00000000-0005-0000-0000-0000C6010000}"/>
    <cellStyle name="40% - Accent3 2 20" xfId="510" xr:uid="{00000000-0005-0000-0000-0000C7010000}"/>
    <cellStyle name="40% - Accent3 2 21" xfId="511" xr:uid="{00000000-0005-0000-0000-0000C8010000}"/>
    <cellStyle name="40% - Accent3 2 22" xfId="512" xr:uid="{00000000-0005-0000-0000-0000C9010000}"/>
    <cellStyle name="40% - Accent3 2 23" xfId="513" xr:uid="{00000000-0005-0000-0000-0000CA010000}"/>
    <cellStyle name="40% - Accent3 2 24" xfId="514" xr:uid="{00000000-0005-0000-0000-0000CB010000}"/>
    <cellStyle name="40% - Accent3 2 25" xfId="515" xr:uid="{00000000-0005-0000-0000-0000CC010000}"/>
    <cellStyle name="40% - Accent3 2 26" xfId="516" xr:uid="{00000000-0005-0000-0000-0000CD010000}"/>
    <cellStyle name="40% - Accent3 2 27" xfId="517" xr:uid="{00000000-0005-0000-0000-0000CE010000}"/>
    <cellStyle name="40% - Accent3 2 3" xfId="518" xr:uid="{00000000-0005-0000-0000-0000CF010000}"/>
    <cellStyle name="40% - Accent3 2 4" xfId="519" xr:uid="{00000000-0005-0000-0000-0000D0010000}"/>
    <cellStyle name="40% - Accent3 2 5" xfId="520" xr:uid="{00000000-0005-0000-0000-0000D1010000}"/>
    <cellStyle name="40% - Accent3 2 6" xfId="521" xr:uid="{00000000-0005-0000-0000-0000D2010000}"/>
    <cellStyle name="40% - Accent3 2 7" xfId="522" xr:uid="{00000000-0005-0000-0000-0000D3010000}"/>
    <cellStyle name="40% - Accent3 2 8" xfId="523" xr:uid="{00000000-0005-0000-0000-0000D4010000}"/>
    <cellStyle name="40% - Accent3 2 9" xfId="524" xr:uid="{00000000-0005-0000-0000-0000D5010000}"/>
    <cellStyle name="40% - Accent3 20" xfId="525" xr:uid="{00000000-0005-0000-0000-0000D6010000}"/>
    <cellStyle name="40% - Accent3 21" xfId="526" xr:uid="{00000000-0005-0000-0000-0000D7010000}"/>
    <cellStyle name="40% - Accent3 22" xfId="527" xr:uid="{00000000-0005-0000-0000-0000D8010000}"/>
    <cellStyle name="40% - Accent3 23" xfId="528" xr:uid="{00000000-0005-0000-0000-0000D9010000}"/>
    <cellStyle name="40% - Accent3 24" xfId="529" xr:uid="{00000000-0005-0000-0000-0000DA010000}"/>
    <cellStyle name="40% - Accent3 25" xfId="530" xr:uid="{00000000-0005-0000-0000-0000DB010000}"/>
    <cellStyle name="40% - Accent3 26" xfId="531" xr:uid="{00000000-0005-0000-0000-0000DC010000}"/>
    <cellStyle name="40% - Accent3 27" xfId="532" xr:uid="{00000000-0005-0000-0000-0000DD010000}"/>
    <cellStyle name="40% - Accent3 28" xfId="533" xr:uid="{00000000-0005-0000-0000-0000DE010000}"/>
    <cellStyle name="40% - Accent3 3" xfId="534" xr:uid="{00000000-0005-0000-0000-0000DF010000}"/>
    <cellStyle name="40% - Accent3 4" xfId="535" xr:uid="{00000000-0005-0000-0000-0000E0010000}"/>
    <cellStyle name="40% - Accent3 5" xfId="536" xr:uid="{00000000-0005-0000-0000-0000E1010000}"/>
    <cellStyle name="40% - Accent3 6" xfId="537" xr:uid="{00000000-0005-0000-0000-0000E2010000}"/>
    <cellStyle name="40% - Accent3 7" xfId="538" xr:uid="{00000000-0005-0000-0000-0000E3010000}"/>
    <cellStyle name="40% - Accent3 8" xfId="539" xr:uid="{00000000-0005-0000-0000-0000E4010000}"/>
    <cellStyle name="40% - Accent3 9" xfId="540" xr:uid="{00000000-0005-0000-0000-0000E5010000}"/>
    <cellStyle name="40% - Accent4" xfId="48" builtinId="43" customBuiltin="1"/>
    <cellStyle name="40% - Accent4 10" xfId="541" xr:uid="{00000000-0005-0000-0000-0000E7010000}"/>
    <cellStyle name="40% - Accent4 11" xfId="542" xr:uid="{00000000-0005-0000-0000-0000E8010000}"/>
    <cellStyle name="40% - Accent4 12" xfId="543" xr:uid="{00000000-0005-0000-0000-0000E9010000}"/>
    <cellStyle name="40% - Accent4 13" xfId="544" xr:uid="{00000000-0005-0000-0000-0000EA010000}"/>
    <cellStyle name="40% - Accent4 14" xfId="545" xr:uid="{00000000-0005-0000-0000-0000EB010000}"/>
    <cellStyle name="40% - Accent4 15" xfId="546" xr:uid="{00000000-0005-0000-0000-0000EC010000}"/>
    <cellStyle name="40% - Accent4 16" xfId="547" xr:uid="{00000000-0005-0000-0000-0000ED010000}"/>
    <cellStyle name="40% - Accent4 17" xfId="548" xr:uid="{00000000-0005-0000-0000-0000EE010000}"/>
    <cellStyle name="40% - Accent4 18" xfId="549" xr:uid="{00000000-0005-0000-0000-0000EF010000}"/>
    <cellStyle name="40% - Accent4 19" xfId="550" xr:uid="{00000000-0005-0000-0000-0000F0010000}"/>
    <cellStyle name="40% - Accent4 2" xfId="551" xr:uid="{00000000-0005-0000-0000-0000F1010000}"/>
    <cellStyle name="40% - Accent4 2 10" xfId="552" xr:uid="{00000000-0005-0000-0000-0000F2010000}"/>
    <cellStyle name="40% - Accent4 2 11" xfId="553" xr:uid="{00000000-0005-0000-0000-0000F3010000}"/>
    <cellStyle name="40% - Accent4 2 12" xfId="554" xr:uid="{00000000-0005-0000-0000-0000F4010000}"/>
    <cellStyle name="40% - Accent4 2 13" xfId="555" xr:uid="{00000000-0005-0000-0000-0000F5010000}"/>
    <cellStyle name="40% - Accent4 2 14" xfId="556" xr:uid="{00000000-0005-0000-0000-0000F6010000}"/>
    <cellStyle name="40% - Accent4 2 15" xfId="557" xr:uid="{00000000-0005-0000-0000-0000F7010000}"/>
    <cellStyle name="40% - Accent4 2 16" xfId="558" xr:uid="{00000000-0005-0000-0000-0000F8010000}"/>
    <cellStyle name="40% - Accent4 2 17" xfId="559" xr:uid="{00000000-0005-0000-0000-0000F9010000}"/>
    <cellStyle name="40% - Accent4 2 18" xfId="560" xr:uid="{00000000-0005-0000-0000-0000FA010000}"/>
    <cellStyle name="40% - Accent4 2 19" xfId="561" xr:uid="{00000000-0005-0000-0000-0000FB010000}"/>
    <cellStyle name="40% - Accent4 2 2" xfId="562" xr:uid="{00000000-0005-0000-0000-0000FC010000}"/>
    <cellStyle name="40% - Accent4 2 20" xfId="563" xr:uid="{00000000-0005-0000-0000-0000FD010000}"/>
    <cellStyle name="40% - Accent4 2 21" xfId="564" xr:uid="{00000000-0005-0000-0000-0000FE010000}"/>
    <cellStyle name="40% - Accent4 2 22" xfId="565" xr:uid="{00000000-0005-0000-0000-0000FF010000}"/>
    <cellStyle name="40% - Accent4 2 23" xfId="566" xr:uid="{00000000-0005-0000-0000-000000020000}"/>
    <cellStyle name="40% - Accent4 2 24" xfId="567" xr:uid="{00000000-0005-0000-0000-000001020000}"/>
    <cellStyle name="40% - Accent4 2 25" xfId="568" xr:uid="{00000000-0005-0000-0000-000002020000}"/>
    <cellStyle name="40% - Accent4 2 26" xfId="569" xr:uid="{00000000-0005-0000-0000-000003020000}"/>
    <cellStyle name="40% - Accent4 2 27" xfId="570" xr:uid="{00000000-0005-0000-0000-000004020000}"/>
    <cellStyle name="40% - Accent4 2 3" xfId="571" xr:uid="{00000000-0005-0000-0000-000005020000}"/>
    <cellStyle name="40% - Accent4 2 4" xfId="572" xr:uid="{00000000-0005-0000-0000-000006020000}"/>
    <cellStyle name="40% - Accent4 2 5" xfId="573" xr:uid="{00000000-0005-0000-0000-000007020000}"/>
    <cellStyle name="40% - Accent4 2 6" xfId="574" xr:uid="{00000000-0005-0000-0000-000008020000}"/>
    <cellStyle name="40% - Accent4 2 7" xfId="575" xr:uid="{00000000-0005-0000-0000-000009020000}"/>
    <cellStyle name="40% - Accent4 2 8" xfId="576" xr:uid="{00000000-0005-0000-0000-00000A020000}"/>
    <cellStyle name="40% - Accent4 2 9" xfId="577" xr:uid="{00000000-0005-0000-0000-00000B020000}"/>
    <cellStyle name="40% - Accent4 20" xfId="578" xr:uid="{00000000-0005-0000-0000-00000C020000}"/>
    <cellStyle name="40% - Accent4 21" xfId="579" xr:uid="{00000000-0005-0000-0000-00000D020000}"/>
    <cellStyle name="40% - Accent4 22" xfId="580" xr:uid="{00000000-0005-0000-0000-00000E020000}"/>
    <cellStyle name="40% - Accent4 23" xfId="581" xr:uid="{00000000-0005-0000-0000-00000F020000}"/>
    <cellStyle name="40% - Accent4 24" xfId="582" xr:uid="{00000000-0005-0000-0000-000010020000}"/>
    <cellStyle name="40% - Accent4 25" xfId="583" xr:uid="{00000000-0005-0000-0000-000011020000}"/>
    <cellStyle name="40% - Accent4 26" xfId="584" xr:uid="{00000000-0005-0000-0000-000012020000}"/>
    <cellStyle name="40% - Accent4 27" xfId="585" xr:uid="{00000000-0005-0000-0000-000013020000}"/>
    <cellStyle name="40% - Accent4 28" xfId="586" xr:uid="{00000000-0005-0000-0000-000014020000}"/>
    <cellStyle name="40% - Accent4 3" xfId="587" xr:uid="{00000000-0005-0000-0000-000015020000}"/>
    <cellStyle name="40% - Accent4 4" xfId="588" xr:uid="{00000000-0005-0000-0000-000016020000}"/>
    <cellStyle name="40% - Accent4 5" xfId="589" xr:uid="{00000000-0005-0000-0000-000017020000}"/>
    <cellStyle name="40% - Accent4 6" xfId="590" xr:uid="{00000000-0005-0000-0000-000018020000}"/>
    <cellStyle name="40% - Accent4 7" xfId="591" xr:uid="{00000000-0005-0000-0000-000019020000}"/>
    <cellStyle name="40% - Accent4 8" xfId="592" xr:uid="{00000000-0005-0000-0000-00001A020000}"/>
    <cellStyle name="40% - Accent4 9" xfId="593" xr:uid="{00000000-0005-0000-0000-00001B020000}"/>
    <cellStyle name="40% - Accent5" xfId="52" builtinId="47" customBuiltin="1"/>
    <cellStyle name="40% - Accent5 10" xfId="594" xr:uid="{00000000-0005-0000-0000-00001D020000}"/>
    <cellStyle name="40% - Accent5 11" xfId="595" xr:uid="{00000000-0005-0000-0000-00001E020000}"/>
    <cellStyle name="40% - Accent5 12" xfId="596" xr:uid="{00000000-0005-0000-0000-00001F020000}"/>
    <cellStyle name="40% - Accent5 13" xfId="597" xr:uid="{00000000-0005-0000-0000-000020020000}"/>
    <cellStyle name="40% - Accent5 14" xfId="598" xr:uid="{00000000-0005-0000-0000-000021020000}"/>
    <cellStyle name="40% - Accent5 15" xfId="599" xr:uid="{00000000-0005-0000-0000-000022020000}"/>
    <cellStyle name="40% - Accent5 16" xfId="600" xr:uid="{00000000-0005-0000-0000-000023020000}"/>
    <cellStyle name="40% - Accent5 17" xfId="601" xr:uid="{00000000-0005-0000-0000-000024020000}"/>
    <cellStyle name="40% - Accent5 18" xfId="602" xr:uid="{00000000-0005-0000-0000-000025020000}"/>
    <cellStyle name="40% - Accent5 19" xfId="603" xr:uid="{00000000-0005-0000-0000-000026020000}"/>
    <cellStyle name="40% - Accent5 2" xfId="604" xr:uid="{00000000-0005-0000-0000-000027020000}"/>
    <cellStyle name="40% - Accent5 2 10" xfId="605" xr:uid="{00000000-0005-0000-0000-000028020000}"/>
    <cellStyle name="40% - Accent5 2 11" xfId="606" xr:uid="{00000000-0005-0000-0000-000029020000}"/>
    <cellStyle name="40% - Accent5 2 12" xfId="607" xr:uid="{00000000-0005-0000-0000-00002A020000}"/>
    <cellStyle name="40% - Accent5 2 13" xfId="608" xr:uid="{00000000-0005-0000-0000-00002B020000}"/>
    <cellStyle name="40% - Accent5 2 14" xfId="609" xr:uid="{00000000-0005-0000-0000-00002C020000}"/>
    <cellStyle name="40% - Accent5 2 15" xfId="610" xr:uid="{00000000-0005-0000-0000-00002D020000}"/>
    <cellStyle name="40% - Accent5 2 16" xfId="611" xr:uid="{00000000-0005-0000-0000-00002E020000}"/>
    <cellStyle name="40% - Accent5 2 17" xfId="612" xr:uid="{00000000-0005-0000-0000-00002F020000}"/>
    <cellStyle name="40% - Accent5 2 18" xfId="613" xr:uid="{00000000-0005-0000-0000-000030020000}"/>
    <cellStyle name="40% - Accent5 2 19" xfId="614" xr:uid="{00000000-0005-0000-0000-000031020000}"/>
    <cellStyle name="40% - Accent5 2 2" xfId="615" xr:uid="{00000000-0005-0000-0000-000032020000}"/>
    <cellStyle name="40% - Accent5 2 20" xfId="616" xr:uid="{00000000-0005-0000-0000-000033020000}"/>
    <cellStyle name="40% - Accent5 2 21" xfId="617" xr:uid="{00000000-0005-0000-0000-000034020000}"/>
    <cellStyle name="40% - Accent5 2 22" xfId="618" xr:uid="{00000000-0005-0000-0000-000035020000}"/>
    <cellStyle name="40% - Accent5 2 23" xfId="619" xr:uid="{00000000-0005-0000-0000-000036020000}"/>
    <cellStyle name="40% - Accent5 2 24" xfId="620" xr:uid="{00000000-0005-0000-0000-000037020000}"/>
    <cellStyle name="40% - Accent5 2 25" xfId="621" xr:uid="{00000000-0005-0000-0000-000038020000}"/>
    <cellStyle name="40% - Accent5 2 26" xfId="622" xr:uid="{00000000-0005-0000-0000-000039020000}"/>
    <cellStyle name="40% - Accent5 2 27" xfId="623" xr:uid="{00000000-0005-0000-0000-00003A020000}"/>
    <cellStyle name="40% - Accent5 2 3" xfId="624" xr:uid="{00000000-0005-0000-0000-00003B020000}"/>
    <cellStyle name="40% - Accent5 2 4" xfId="625" xr:uid="{00000000-0005-0000-0000-00003C020000}"/>
    <cellStyle name="40% - Accent5 2 5" xfId="626" xr:uid="{00000000-0005-0000-0000-00003D020000}"/>
    <cellStyle name="40% - Accent5 2 6" xfId="627" xr:uid="{00000000-0005-0000-0000-00003E020000}"/>
    <cellStyle name="40% - Accent5 2 7" xfId="628" xr:uid="{00000000-0005-0000-0000-00003F020000}"/>
    <cellStyle name="40% - Accent5 2 8" xfId="629" xr:uid="{00000000-0005-0000-0000-000040020000}"/>
    <cellStyle name="40% - Accent5 2 9" xfId="630" xr:uid="{00000000-0005-0000-0000-000041020000}"/>
    <cellStyle name="40% - Accent5 20" xfId="631" xr:uid="{00000000-0005-0000-0000-000042020000}"/>
    <cellStyle name="40% - Accent5 21" xfId="632" xr:uid="{00000000-0005-0000-0000-000043020000}"/>
    <cellStyle name="40% - Accent5 22" xfId="633" xr:uid="{00000000-0005-0000-0000-000044020000}"/>
    <cellStyle name="40% - Accent5 23" xfId="634" xr:uid="{00000000-0005-0000-0000-000045020000}"/>
    <cellStyle name="40% - Accent5 24" xfId="635" xr:uid="{00000000-0005-0000-0000-000046020000}"/>
    <cellStyle name="40% - Accent5 25" xfId="636" xr:uid="{00000000-0005-0000-0000-000047020000}"/>
    <cellStyle name="40% - Accent5 26" xfId="637" xr:uid="{00000000-0005-0000-0000-000048020000}"/>
    <cellStyle name="40% - Accent5 27" xfId="638" xr:uid="{00000000-0005-0000-0000-000049020000}"/>
    <cellStyle name="40% - Accent5 28" xfId="639" xr:uid="{00000000-0005-0000-0000-00004A020000}"/>
    <cellStyle name="40% - Accent5 3" xfId="640" xr:uid="{00000000-0005-0000-0000-00004B020000}"/>
    <cellStyle name="40% - Accent5 4" xfId="641" xr:uid="{00000000-0005-0000-0000-00004C020000}"/>
    <cellStyle name="40% - Accent5 5" xfId="642" xr:uid="{00000000-0005-0000-0000-00004D020000}"/>
    <cellStyle name="40% - Accent5 6" xfId="643" xr:uid="{00000000-0005-0000-0000-00004E020000}"/>
    <cellStyle name="40% - Accent5 7" xfId="644" xr:uid="{00000000-0005-0000-0000-00004F020000}"/>
    <cellStyle name="40% - Accent5 8" xfId="645" xr:uid="{00000000-0005-0000-0000-000050020000}"/>
    <cellStyle name="40% - Accent5 9" xfId="646" xr:uid="{00000000-0005-0000-0000-000051020000}"/>
    <cellStyle name="40% - Accent6" xfId="56" builtinId="51" customBuiltin="1"/>
    <cellStyle name="40% - Accent6 10" xfId="647" xr:uid="{00000000-0005-0000-0000-000053020000}"/>
    <cellStyle name="40% - Accent6 11" xfId="648" xr:uid="{00000000-0005-0000-0000-000054020000}"/>
    <cellStyle name="40% - Accent6 12" xfId="649" xr:uid="{00000000-0005-0000-0000-000055020000}"/>
    <cellStyle name="40% - Accent6 13" xfId="650" xr:uid="{00000000-0005-0000-0000-000056020000}"/>
    <cellStyle name="40% - Accent6 14" xfId="651" xr:uid="{00000000-0005-0000-0000-000057020000}"/>
    <cellStyle name="40% - Accent6 15" xfId="652" xr:uid="{00000000-0005-0000-0000-000058020000}"/>
    <cellStyle name="40% - Accent6 16" xfId="653" xr:uid="{00000000-0005-0000-0000-000059020000}"/>
    <cellStyle name="40% - Accent6 17" xfId="654" xr:uid="{00000000-0005-0000-0000-00005A020000}"/>
    <cellStyle name="40% - Accent6 18" xfId="655" xr:uid="{00000000-0005-0000-0000-00005B020000}"/>
    <cellStyle name="40% - Accent6 19" xfId="656" xr:uid="{00000000-0005-0000-0000-00005C020000}"/>
    <cellStyle name="40% - Accent6 2" xfId="657" xr:uid="{00000000-0005-0000-0000-00005D020000}"/>
    <cellStyle name="40% - Accent6 2 10" xfId="658" xr:uid="{00000000-0005-0000-0000-00005E020000}"/>
    <cellStyle name="40% - Accent6 2 11" xfId="659" xr:uid="{00000000-0005-0000-0000-00005F020000}"/>
    <cellStyle name="40% - Accent6 2 12" xfId="660" xr:uid="{00000000-0005-0000-0000-000060020000}"/>
    <cellStyle name="40% - Accent6 2 13" xfId="661" xr:uid="{00000000-0005-0000-0000-000061020000}"/>
    <cellStyle name="40% - Accent6 2 14" xfId="662" xr:uid="{00000000-0005-0000-0000-000062020000}"/>
    <cellStyle name="40% - Accent6 2 15" xfId="663" xr:uid="{00000000-0005-0000-0000-000063020000}"/>
    <cellStyle name="40% - Accent6 2 16" xfId="664" xr:uid="{00000000-0005-0000-0000-000064020000}"/>
    <cellStyle name="40% - Accent6 2 17" xfId="665" xr:uid="{00000000-0005-0000-0000-000065020000}"/>
    <cellStyle name="40% - Accent6 2 18" xfId="666" xr:uid="{00000000-0005-0000-0000-000066020000}"/>
    <cellStyle name="40% - Accent6 2 19" xfId="667" xr:uid="{00000000-0005-0000-0000-000067020000}"/>
    <cellStyle name="40% - Accent6 2 2" xfId="668" xr:uid="{00000000-0005-0000-0000-000068020000}"/>
    <cellStyle name="40% - Accent6 2 20" xfId="669" xr:uid="{00000000-0005-0000-0000-000069020000}"/>
    <cellStyle name="40% - Accent6 2 21" xfId="670" xr:uid="{00000000-0005-0000-0000-00006A020000}"/>
    <cellStyle name="40% - Accent6 2 22" xfId="671" xr:uid="{00000000-0005-0000-0000-00006B020000}"/>
    <cellStyle name="40% - Accent6 2 23" xfId="672" xr:uid="{00000000-0005-0000-0000-00006C020000}"/>
    <cellStyle name="40% - Accent6 2 24" xfId="673" xr:uid="{00000000-0005-0000-0000-00006D020000}"/>
    <cellStyle name="40% - Accent6 2 25" xfId="674" xr:uid="{00000000-0005-0000-0000-00006E020000}"/>
    <cellStyle name="40% - Accent6 2 26" xfId="675" xr:uid="{00000000-0005-0000-0000-00006F020000}"/>
    <cellStyle name="40% - Accent6 2 27" xfId="676" xr:uid="{00000000-0005-0000-0000-000070020000}"/>
    <cellStyle name="40% - Accent6 2 3" xfId="677" xr:uid="{00000000-0005-0000-0000-000071020000}"/>
    <cellStyle name="40% - Accent6 2 4" xfId="678" xr:uid="{00000000-0005-0000-0000-000072020000}"/>
    <cellStyle name="40% - Accent6 2 5" xfId="679" xr:uid="{00000000-0005-0000-0000-000073020000}"/>
    <cellStyle name="40% - Accent6 2 6" xfId="680" xr:uid="{00000000-0005-0000-0000-000074020000}"/>
    <cellStyle name="40% - Accent6 2 7" xfId="681" xr:uid="{00000000-0005-0000-0000-000075020000}"/>
    <cellStyle name="40% - Accent6 2 8" xfId="682" xr:uid="{00000000-0005-0000-0000-000076020000}"/>
    <cellStyle name="40% - Accent6 2 9" xfId="683" xr:uid="{00000000-0005-0000-0000-000077020000}"/>
    <cellStyle name="40% - Accent6 20" xfId="684" xr:uid="{00000000-0005-0000-0000-000078020000}"/>
    <cellStyle name="40% - Accent6 21" xfId="685" xr:uid="{00000000-0005-0000-0000-000079020000}"/>
    <cellStyle name="40% - Accent6 22" xfId="686" xr:uid="{00000000-0005-0000-0000-00007A020000}"/>
    <cellStyle name="40% - Accent6 23" xfId="687" xr:uid="{00000000-0005-0000-0000-00007B020000}"/>
    <cellStyle name="40% - Accent6 24" xfId="688" xr:uid="{00000000-0005-0000-0000-00007C020000}"/>
    <cellStyle name="40% - Accent6 25" xfId="689" xr:uid="{00000000-0005-0000-0000-00007D020000}"/>
    <cellStyle name="40% - Accent6 26" xfId="690" xr:uid="{00000000-0005-0000-0000-00007E020000}"/>
    <cellStyle name="40% - Accent6 27" xfId="691" xr:uid="{00000000-0005-0000-0000-00007F020000}"/>
    <cellStyle name="40% - Accent6 28" xfId="692" xr:uid="{00000000-0005-0000-0000-000080020000}"/>
    <cellStyle name="40% - Accent6 3" xfId="693" xr:uid="{00000000-0005-0000-0000-000081020000}"/>
    <cellStyle name="40% - Accent6 4" xfId="694" xr:uid="{00000000-0005-0000-0000-000082020000}"/>
    <cellStyle name="40% - Accent6 5" xfId="695" xr:uid="{00000000-0005-0000-0000-000083020000}"/>
    <cellStyle name="40% - Accent6 6" xfId="696" xr:uid="{00000000-0005-0000-0000-000084020000}"/>
    <cellStyle name="40% - Accent6 7" xfId="697" xr:uid="{00000000-0005-0000-0000-000085020000}"/>
    <cellStyle name="40% - Accent6 8" xfId="698" xr:uid="{00000000-0005-0000-0000-000086020000}"/>
    <cellStyle name="40% - Accent6 9" xfId="699" xr:uid="{00000000-0005-0000-0000-000087020000}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 xr:uid="{00000000-0005-0000-0000-000098020000}"/>
    <cellStyle name="Currency" xfId="2" builtinId="4"/>
    <cellStyle name="Currency 2" xfId="60" xr:uid="{00000000-0005-0000-0000-00009A020000}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 xr:uid="{00000000-0005-0000-0000-0000B1020000}"/>
    <cellStyle name="Normal 2" xfId="700" xr:uid="{00000000-0005-0000-0000-0000B2020000}"/>
    <cellStyle name="Normal 2 10" xfId="701" xr:uid="{00000000-0005-0000-0000-0000B3020000}"/>
    <cellStyle name="Normal 2 11" xfId="702" xr:uid="{00000000-0005-0000-0000-0000B4020000}"/>
    <cellStyle name="Normal 2 12" xfId="703" xr:uid="{00000000-0005-0000-0000-0000B5020000}"/>
    <cellStyle name="Normal 2 13" xfId="704" xr:uid="{00000000-0005-0000-0000-0000B6020000}"/>
    <cellStyle name="Normal 2 14" xfId="705" xr:uid="{00000000-0005-0000-0000-0000B7020000}"/>
    <cellStyle name="Normal 2 15" xfId="706" xr:uid="{00000000-0005-0000-0000-0000B8020000}"/>
    <cellStyle name="Normal 2 16" xfId="707" xr:uid="{00000000-0005-0000-0000-0000B9020000}"/>
    <cellStyle name="Normal 2 17" xfId="708" xr:uid="{00000000-0005-0000-0000-0000BA020000}"/>
    <cellStyle name="Normal 2 18" xfId="709" xr:uid="{00000000-0005-0000-0000-0000BB020000}"/>
    <cellStyle name="Normal 2 19" xfId="710" xr:uid="{00000000-0005-0000-0000-0000BC020000}"/>
    <cellStyle name="Normal 2 2" xfId="711" xr:uid="{00000000-0005-0000-0000-0000BD020000}"/>
    <cellStyle name="Normal 2 2 10" xfId="712" xr:uid="{00000000-0005-0000-0000-0000BE020000}"/>
    <cellStyle name="Normal 2 2 11" xfId="713" xr:uid="{00000000-0005-0000-0000-0000BF020000}"/>
    <cellStyle name="Normal 2 2 12" xfId="714" xr:uid="{00000000-0005-0000-0000-0000C0020000}"/>
    <cellStyle name="Normal 2 2 13" xfId="715" xr:uid="{00000000-0005-0000-0000-0000C1020000}"/>
    <cellStyle name="Normal 2 2 14" xfId="716" xr:uid="{00000000-0005-0000-0000-0000C2020000}"/>
    <cellStyle name="Normal 2 2 15" xfId="717" xr:uid="{00000000-0005-0000-0000-0000C3020000}"/>
    <cellStyle name="Normal 2 2 16" xfId="718" xr:uid="{00000000-0005-0000-0000-0000C4020000}"/>
    <cellStyle name="Normal 2 2 17" xfId="719" xr:uid="{00000000-0005-0000-0000-0000C5020000}"/>
    <cellStyle name="Normal 2 2 18" xfId="720" xr:uid="{00000000-0005-0000-0000-0000C6020000}"/>
    <cellStyle name="Normal 2 2 19" xfId="721" xr:uid="{00000000-0005-0000-0000-0000C7020000}"/>
    <cellStyle name="Normal 2 2 2" xfId="722" xr:uid="{00000000-0005-0000-0000-0000C8020000}"/>
    <cellStyle name="Normal 2 2 20" xfId="723" xr:uid="{00000000-0005-0000-0000-0000C9020000}"/>
    <cellStyle name="Normal 2 2 21" xfId="724" xr:uid="{00000000-0005-0000-0000-0000CA020000}"/>
    <cellStyle name="Normal 2 2 22" xfId="725" xr:uid="{00000000-0005-0000-0000-0000CB020000}"/>
    <cellStyle name="Normal 2 2 23" xfId="726" xr:uid="{00000000-0005-0000-0000-0000CC020000}"/>
    <cellStyle name="Normal 2 2 24" xfId="727" xr:uid="{00000000-0005-0000-0000-0000CD020000}"/>
    <cellStyle name="Normal 2 2 25" xfId="728" xr:uid="{00000000-0005-0000-0000-0000CE020000}"/>
    <cellStyle name="Normal 2 2 26" xfId="729" xr:uid="{00000000-0005-0000-0000-0000CF020000}"/>
    <cellStyle name="Normal 2 2 27" xfId="730" xr:uid="{00000000-0005-0000-0000-0000D0020000}"/>
    <cellStyle name="Normal 2 2 3" xfId="731" xr:uid="{00000000-0005-0000-0000-0000D1020000}"/>
    <cellStyle name="Normal 2 2 4" xfId="732" xr:uid="{00000000-0005-0000-0000-0000D2020000}"/>
    <cellStyle name="Normal 2 2 5" xfId="733" xr:uid="{00000000-0005-0000-0000-0000D3020000}"/>
    <cellStyle name="Normal 2 2 6" xfId="734" xr:uid="{00000000-0005-0000-0000-0000D4020000}"/>
    <cellStyle name="Normal 2 2 7" xfId="735" xr:uid="{00000000-0005-0000-0000-0000D5020000}"/>
    <cellStyle name="Normal 2 2 8" xfId="736" xr:uid="{00000000-0005-0000-0000-0000D6020000}"/>
    <cellStyle name="Normal 2 2 9" xfId="737" xr:uid="{00000000-0005-0000-0000-0000D7020000}"/>
    <cellStyle name="Normal 2 20" xfId="738" xr:uid="{00000000-0005-0000-0000-0000D8020000}"/>
    <cellStyle name="Normal 2 21" xfId="739" xr:uid="{00000000-0005-0000-0000-0000D9020000}"/>
    <cellStyle name="Normal 2 22" xfId="740" xr:uid="{00000000-0005-0000-0000-0000DA020000}"/>
    <cellStyle name="Normal 2 23" xfId="741" xr:uid="{00000000-0005-0000-0000-0000DB020000}"/>
    <cellStyle name="Normal 2 24" xfId="742" xr:uid="{00000000-0005-0000-0000-0000DC020000}"/>
    <cellStyle name="Normal 2 25" xfId="743" xr:uid="{00000000-0005-0000-0000-0000DD020000}"/>
    <cellStyle name="Normal 2 26" xfId="744" xr:uid="{00000000-0005-0000-0000-0000DE020000}"/>
    <cellStyle name="Normal 2 27" xfId="745" xr:uid="{00000000-0005-0000-0000-0000DF020000}"/>
    <cellStyle name="Normal 2 28" xfId="746" xr:uid="{00000000-0005-0000-0000-0000E0020000}"/>
    <cellStyle name="Normal 2 29" xfId="747" xr:uid="{00000000-0005-0000-0000-0000E1020000}"/>
    <cellStyle name="Normal 2 3" xfId="748" xr:uid="{00000000-0005-0000-0000-0000E2020000}"/>
    <cellStyle name="Normal 2 4" xfId="749" xr:uid="{00000000-0005-0000-0000-0000E3020000}"/>
    <cellStyle name="Normal 2 5" xfId="750" xr:uid="{00000000-0005-0000-0000-0000E4020000}"/>
    <cellStyle name="Normal 2 6" xfId="751" xr:uid="{00000000-0005-0000-0000-0000E5020000}"/>
    <cellStyle name="Normal 2 7" xfId="752" xr:uid="{00000000-0005-0000-0000-0000E6020000}"/>
    <cellStyle name="Normal 2 8" xfId="753" xr:uid="{00000000-0005-0000-0000-0000E7020000}"/>
    <cellStyle name="Normal 2 9" xfId="754" xr:uid="{00000000-0005-0000-0000-0000E8020000}"/>
    <cellStyle name="Normal 3" xfId="755" xr:uid="{00000000-0005-0000-0000-0000E9020000}"/>
    <cellStyle name="Normal 3 10" xfId="756" xr:uid="{00000000-0005-0000-0000-0000EA020000}"/>
    <cellStyle name="Normal 3 11" xfId="757" xr:uid="{00000000-0005-0000-0000-0000EB020000}"/>
    <cellStyle name="Normal 3 12" xfId="758" xr:uid="{00000000-0005-0000-0000-0000EC020000}"/>
    <cellStyle name="Normal 3 13" xfId="759" xr:uid="{00000000-0005-0000-0000-0000ED020000}"/>
    <cellStyle name="Normal 3 14" xfId="760" xr:uid="{00000000-0005-0000-0000-0000EE020000}"/>
    <cellStyle name="Normal 3 15" xfId="761" xr:uid="{00000000-0005-0000-0000-0000EF020000}"/>
    <cellStyle name="Normal 3 16" xfId="762" xr:uid="{00000000-0005-0000-0000-0000F0020000}"/>
    <cellStyle name="Normal 3 17" xfId="763" xr:uid="{00000000-0005-0000-0000-0000F1020000}"/>
    <cellStyle name="Normal 3 18" xfId="764" xr:uid="{00000000-0005-0000-0000-0000F2020000}"/>
    <cellStyle name="Normal 3 19" xfId="765" xr:uid="{00000000-0005-0000-0000-0000F3020000}"/>
    <cellStyle name="Normal 3 2" xfId="766" xr:uid="{00000000-0005-0000-0000-0000F4020000}"/>
    <cellStyle name="Normal 3 20" xfId="767" xr:uid="{00000000-0005-0000-0000-0000F5020000}"/>
    <cellStyle name="Normal 3 21" xfId="768" xr:uid="{00000000-0005-0000-0000-0000F6020000}"/>
    <cellStyle name="Normal 3 22" xfId="769" xr:uid="{00000000-0005-0000-0000-0000F7020000}"/>
    <cellStyle name="Normal 3 23" xfId="770" xr:uid="{00000000-0005-0000-0000-0000F8020000}"/>
    <cellStyle name="Normal 3 24" xfId="771" xr:uid="{00000000-0005-0000-0000-0000F9020000}"/>
    <cellStyle name="Normal 3 25" xfId="772" xr:uid="{00000000-0005-0000-0000-0000FA020000}"/>
    <cellStyle name="Normal 3 26" xfId="773" xr:uid="{00000000-0005-0000-0000-0000FB020000}"/>
    <cellStyle name="Normal 3 27" xfId="774" xr:uid="{00000000-0005-0000-0000-0000FC020000}"/>
    <cellStyle name="Normal 3 28" xfId="775" xr:uid="{00000000-0005-0000-0000-0000FD020000}"/>
    <cellStyle name="Normal 3 3" xfId="776" xr:uid="{00000000-0005-0000-0000-0000FE020000}"/>
    <cellStyle name="Normal 3 4" xfId="777" xr:uid="{00000000-0005-0000-0000-0000FF020000}"/>
    <cellStyle name="Normal 3 5" xfId="778" xr:uid="{00000000-0005-0000-0000-000000030000}"/>
    <cellStyle name="Normal 3 6" xfId="779" xr:uid="{00000000-0005-0000-0000-000001030000}"/>
    <cellStyle name="Normal 3 7" xfId="780" xr:uid="{00000000-0005-0000-0000-000002030000}"/>
    <cellStyle name="Normal 3 8" xfId="781" xr:uid="{00000000-0005-0000-0000-000003030000}"/>
    <cellStyle name="Normal 3 9" xfId="782" xr:uid="{00000000-0005-0000-0000-000004030000}"/>
    <cellStyle name="Normal 4" xfId="783" xr:uid="{00000000-0005-0000-0000-000005030000}"/>
    <cellStyle name="Normal 4 10" xfId="784" xr:uid="{00000000-0005-0000-0000-000006030000}"/>
    <cellStyle name="Normal 4 11" xfId="785" xr:uid="{00000000-0005-0000-0000-000007030000}"/>
    <cellStyle name="Normal 4 12" xfId="786" xr:uid="{00000000-0005-0000-0000-000008030000}"/>
    <cellStyle name="Normal 4 13" xfId="787" xr:uid="{00000000-0005-0000-0000-000009030000}"/>
    <cellStyle name="Normal 4 14" xfId="788" xr:uid="{00000000-0005-0000-0000-00000A030000}"/>
    <cellStyle name="Normal 4 15" xfId="789" xr:uid="{00000000-0005-0000-0000-00000B030000}"/>
    <cellStyle name="Normal 4 16" xfId="790" xr:uid="{00000000-0005-0000-0000-00000C030000}"/>
    <cellStyle name="Normal 4 17" xfId="791" xr:uid="{00000000-0005-0000-0000-00000D030000}"/>
    <cellStyle name="Normal 4 18" xfId="792" xr:uid="{00000000-0005-0000-0000-00000E030000}"/>
    <cellStyle name="Normal 4 19" xfId="793" xr:uid="{00000000-0005-0000-0000-00000F030000}"/>
    <cellStyle name="Normal 4 2" xfId="794" xr:uid="{00000000-0005-0000-0000-000010030000}"/>
    <cellStyle name="Normal 4 20" xfId="795" xr:uid="{00000000-0005-0000-0000-000011030000}"/>
    <cellStyle name="Normal 4 21" xfId="796" xr:uid="{00000000-0005-0000-0000-000012030000}"/>
    <cellStyle name="Normal 4 22" xfId="797" xr:uid="{00000000-0005-0000-0000-000013030000}"/>
    <cellStyle name="Normal 4 23" xfId="798" xr:uid="{00000000-0005-0000-0000-000014030000}"/>
    <cellStyle name="Normal 4 24" xfId="799" xr:uid="{00000000-0005-0000-0000-000015030000}"/>
    <cellStyle name="Normal 4 25" xfId="800" xr:uid="{00000000-0005-0000-0000-000016030000}"/>
    <cellStyle name="Normal 4 26" xfId="801" xr:uid="{00000000-0005-0000-0000-000017030000}"/>
    <cellStyle name="Normal 4 27" xfId="802" xr:uid="{00000000-0005-0000-0000-000018030000}"/>
    <cellStyle name="Normal 4 28" xfId="803" xr:uid="{00000000-0005-0000-0000-000019030000}"/>
    <cellStyle name="Normal 4 3" xfId="804" xr:uid="{00000000-0005-0000-0000-00001A030000}"/>
    <cellStyle name="Normal 4 4" xfId="805" xr:uid="{00000000-0005-0000-0000-00001B030000}"/>
    <cellStyle name="Normal 4 5" xfId="806" xr:uid="{00000000-0005-0000-0000-00001C030000}"/>
    <cellStyle name="Normal 4 6" xfId="807" xr:uid="{00000000-0005-0000-0000-00001D030000}"/>
    <cellStyle name="Normal 4 7" xfId="808" xr:uid="{00000000-0005-0000-0000-00001E030000}"/>
    <cellStyle name="Normal 4 8" xfId="809" xr:uid="{00000000-0005-0000-0000-00001F030000}"/>
    <cellStyle name="Normal 4 9" xfId="810" xr:uid="{00000000-0005-0000-0000-000020030000}"/>
    <cellStyle name="Normal 5" xfId="811" xr:uid="{00000000-0005-0000-0000-000021030000}"/>
    <cellStyle name="Normal 5 10" xfId="812" xr:uid="{00000000-0005-0000-0000-000022030000}"/>
    <cellStyle name="Normal 5 11" xfId="813" xr:uid="{00000000-0005-0000-0000-000023030000}"/>
    <cellStyle name="Normal 5 12" xfId="814" xr:uid="{00000000-0005-0000-0000-000024030000}"/>
    <cellStyle name="Normal 5 13" xfId="815" xr:uid="{00000000-0005-0000-0000-000025030000}"/>
    <cellStyle name="Normal 5 14" xfId="816" xr:uid="{00000000-0005-0000-0000-000026030000}"/>
    <cellStyle name="Normal 5 15" xfId="817" xr:uid="{00000000-0005-0000-0000-000027030000}"/>
    <cellStyle name="Normal 5 16" xfId="818" xr:uid="{00000000-0005-0000-0000-000028030000}"/>
    <cellStyle name="Normal 5 17" xfId="819" xr:uid="{00000000-0005-0000-0000-000029030000}"/>
    <cellStyle name="Normal 5 18" xfId="820" xr:uid="{00000000-0005-0000-0000-00002A030000}"/>
    <cellStyle name="Normal 5 19" xfId="821" xr:uid="{00000000-0005-0000-0000-00002B030000}"/>
    <cellStyle name="Normal 5 2" xfId="822" xr:uid="{00000000-0005-0000-0000-00002C030000}"/>
    <cellStyle name="Normal 5 20" xfId="823" xr:uid="{00000000-0005-0000-0000-00002D030000}"/>
    <cellStyle name="Normal 5 21" xfId="824" xr:uid="{00000000-0005-0000-0000-00002E030000}"/>
    <cellStyle name="Normal 5 22" xfId="825" xr:uid="{00000000-0005-0000-0000-00002F030000}"/>
    <cellStyle name="Normal 5 23" xfId="826" xr:uid="{00000000-0005-0000-0000-000030030000}"/>
    <cellStyle name="Normal 5 24" xfId="827" xr:uid="{00000000-0005-0000-0000-000031030000}"/>
    <cellStyle name="Normal 5 25" xfId="828" xr:uid="{00000000-0005-0000-0000-000032030000}"/>
    <cellStyle name="Normal 5 26" xfId="829" xr:uid="{00000000-0005-0000-0000-000033030000}"/>
    <cellStyle name="Normal 5 27" xfId="830" xr:uid="{00000000-0005-0000-0000-000034030000}"/>
    <cellStyle name="Normal 5 3" xfId="831" xr:uid="{00000000-0005-0000-0000-000035030000}"/>
    <cellStyle name="Normal 5 4" xfId="832" xr:uid="{00000000-0005-0000-0000-000036030000}"/>
    <cellStyle name="Normal 5 5" xfId="833" xr:uid="{00000000-0005-0000-0000-000037030000}"/>
    <cellStyle name="Normal 5 6" xfId="834" xr:uid="{00000000-0005-0000-0000-000038030000}"/>
    <cellStyle name="Normal 5 7" xfId="835" xr:uid="{00000000-0005-0000-0000-000039030000}"/>
    <cellStyle name="Normal 5 8" xfId="836" xr:uid="{00000000-0005-0000-0000-00003A030000}"/>
    <cellStyle name="Normal 5 9" xfId="837" xr:uid="{00000000-0005-0000-0000-00003B030000}"/>
    <cellStyle name="Normal 6" xfId="838" xr:uid="{00000000-0005-0000-0000-00003C030000}"/>
    <cellStyle name="Normal 6 10" xfId="839" xr:uid="{00000000-0005-0000-0000-00003D030000}"/>
    <cellStyle name="Normal 6 11" xfId="840" xr:uid="{00000000-0005-0000-0000-00003E030000}"/>
    <cellStyle name="Normal 6 12" xfId="841" xr:uid="{00000000-0005-0000-0000-00003F030000}"/>
    <cellStyle name="Normal 6 13" xfId="842" xr:uid="{00000000-0005-0000-0000-000040030000}"/>
    <cellStyle name="Normal 6 14" xfId="843" xr:uid="{00000000-0005-0000-0000-000041030000}"/>
    <cellStyle name="Normal 6 15" xfId="844" xr:uid="{00000000-0005-0000-0000-000042030000}"/>
    <cellStyle name="Normal 6 16" xfId="845" xr:uid="{00000000-0005-0000-0000-000043030000}"/>
    <cellStyle name="Normal 6 17" xfId="846" xr:uid="{00000000-0005-0000-0000-000044030000}"/>
    <cellStyle name="Normal 6 18" xfId="847" xr:uid="{00000000-0005-0000-0000-000045030000}"/>
    <cellStyle name="Normal 6 19" xfId="848" xr:uid="{00000000-0005-0000-0000-000046030000}"/>
    <cellStyle name="Normal 6 2" xfId="849" xr:uid="{00000000-0005-0000-0000-000047030000}"/>
    <cellStyle name="Normal 6 20" xfId="850" xr:uid="{00000000-0005-0000-0000-000048030000}"/>
    <cellStyle name="Normal 6 21" xfId="851" xr:uid="{00000000-0005-0000-0000-000049030000}"/>
    <cellStyle name="Normal 6 22" xfId="852" xr:uid="{00000000-0005-0000-0000-00004A030000}"/>
    <cellStyle name="Normal 6 23" xfId="853" xr:uid="{00000000-0005-0000-0000-00004B030000}"/>
    <cellStyle name="Normal 6 24" xfId="854" xr:uid="{00000000-0005-0000-0000-00004C030000}"/>
    <cellStyle name="Normal 6 25" xfId="855" xr:uid="{00000000-0005-0000-0000-00004D030000}"/>
    <cellStyle name="Normal 6 26" xfId="856" xr:uid="{00000000-0005-0000-0000-00004E030000}"/>
    <cellStyle name="Normal 6 27" xfId="857" xr:uid="{00000000-0005-0000-0000-00004F030000}"/>
    <cellStyle name="Normal 6 28" xfId="858" xr:uid="{00000000-0005-0000-0000-000050030000}"/>
    <cellStyle name="Normal 6 3" xfId="859" xr:uid="{00000000-0005-0000-0000-000051030000}"/>
    <cellStyle name="Normal 6 4" xfId="860" xr:uid="{00000000-0005-0000-0000-000052030000}"/>
    <cellStyle name="Normal 6 5" xfId="861" xr:uid="{00000000-0005-0000-0000-000053030000}"/>
    <cellStyle name="Normal 6 6" xfId="862" xr:uid="{00000000-0005-0000-0000-000054030000}"/>
    <cellStyle name="Normal 6 7" xfId="863" xr:uid="{00000000-0005-0000-0000-000055030000}"/>
    <cellStyle name="Normal 6 8" xfId="864" xr:uid="{00000000-0005-0000-0000-000056030000}"/>
    <cellStyle name="Normal 6 9" xfId="865" xr:uid="{00000000-0005-0000-0000-000057030000}"/>
    <cellStyle name="Normal 7" xfId="866" xr:uid="{00000000-0005-0000-0000-000058030000}"/>
    <cellStyle name="Normal 7 10" xfId="867" xr:uid="{00000000-0005-0000-0000-000059030000}"/>
    <cellStyle name="Normal 7 11" xfId="868" xr:uid="{00000000-0005-0000-0000-00005A030000}"/>
    <cellStyle name="Normal 7 12" xfId="869" xr:uid="{00000000-0005-0000-0000-00005B030000}"/>
    <cellStyle name="Normal 7 13" xfId="870" xr:uid="{00000000-0005-0000-0000-00005C030000}"/>
    <cellStyle name="Normal 7 14" xfId="871" xr:uid="{00000000-0005-0000-0000-00005D030000}"/>
    <cellStyle name="Normal 7 15" xfId="872" xr:uid="{00000000-0005-0000-0000-00005E030000}"/>
    <cellStyle name="Normal 7 16" xfId="873" xr:uid="{00000000-0005-0000-0000-00005F030000}"/>
    <cellStyle name="Normal 7 17" xfId="874" xr:uid="{00000000-0005-0000-0000-000060030000}"/>
    <cellStyle name="Normal 7 18" xfId="875" xr:uid="{00000000-0005-0000-0000-000061030000}"/>
    <cellStyle name="Normal 7 19" xfId="876" xr:uid="{00000000-0005-0000-0000-000062030000}"/>
    <cellStyle name="Normal 7 2" xfId="877" xr:uid="{00000000-0005-0000-0000-000063030000}"/>
    <cellStyle name="Normal 7 20" xfId="878" xr:uid="{00000000-0005-0000-0000-000064030000}"/>
    <cellStyle name="Normal 7 21" xfId="879" xr:uid="{00000000-0005-0000-0000-000065030000}"/>
    <cellStyle name="Normal 7 22" xfId="880" xr:uid="{00000000-0005-0000-0000-000066030000}"/>
    <cellStyle name="Normal 7 23" xfId="881" xr:uid="{00000000-0005-0000-0000-000067030000}"/>
    <cellStyle name="Normal 7 24" xfId="882" xr:uid="{00000000-0005-0000-0000-000068030000}"/>
    <cellStyle name="Normal 7 25" xfId="883" xr:uid="{00000000-0005-0000-0000-000069030000}"/>
    <cellStyle name="Normal 7 26" xfId="884" xr:uid="{00000000-0005-0000-0000-00006A030000}"/>
    <cellStyle name="Normal 7 27" xfId="885" xr:uid="{00000000-0005-0000-0000-00006B030000}"/>
    <cellStyle name="Normal 7 28" xfId="886" xr:uid="{00000000-0005-0000-0000-00006C030000}"/>
    <cellStyle name="Normal 7 3" xfId="887" xr:uid="{00000000-0005-0000-0000-00006D030000}"/>
    <cellStyle name="Normal 7 4" xfId="888" xr:uid="{00000000-0005-0000-0000-00006E030000}"/>
    <cellStyle name="Normal 7 5" xfId="889" xr:uid="{00000000-0005-0000-0000-00006F030000}"/>
    <cellStyle name="Normal 7 6" xfId="890" xr:uid="{00000000-0005-0000-0000-000070030000}"/>
    <cellStyle name="Normal 7 7" xfId="891" xr:uid="{00000000-0005-0000-0000-000071030000}"/>
    <cellStyle name="Normal 7 8" xfId="892" xr:uid="{00000000-0005-0000-0000-000072030000}"/>
    <cellStyle name="Normal 7 9" xfId="893" xr:uid="{00000000-0005-0000-0000-000073030000}"/>
    <cellStyle name="Normal 8" xfId="894" xr:uid="{00000000-0005-0000-0000-000074030000}"/>
    <cellStyle name="Normal 8 10" xfId="895" xr:uid="{00000000-0005-0000-0000-000075030000}"/>
    <cellStyle name="Normal 8 11" xfId="896" xr:uid="{00000000-0005-0000-0000-000076030000}"/>
    <cellStyle name="Normal 8 12" xfId="897" xr:uid="{00000000-0005-0000-0000-000077030000}"/>
    <cellStyle name="Normal 8 13" xfId="898" xr:uid="{00000000-0005-0000-0000-000078030000}"/>
    <cellStyle name="Normal 8 14" xfId="899" xr:uid="{00000000-0005-0000-0000-000079030000}"/>
    <cellStyle name="Normal 8 15" xfId="900" xr:uid="{00000000-0005-0000-0000-00007A030000}"/>
    <cellStyle name="Normal 8 16" xfId="901" xr:uid="{00000000-0005-0000-0000-00007B030000}"/>
    <cellStyle name="Normal 8 17" xfId="902" xr:uid="{00000000-0005-0000-0000-00007C030000}"/>
    <cellStyle name="Normal 8 18" xfId="903" xr:uid="{00000000-0005-0000-0000-00007D030000}"/>
    <cellStyle name="Normal 8 19" xfId="904" xr:uid="{00000000-0005-0000-0000-00007E030000}"/>
    <cellStyle name="Normal 8 2" xfId="905" xr:uid="{00000000-0005-0000-0000-00007F030000}"/>
    <cellStyle name="Normal 8 20" xfId="906" xr:uid="{00000000-0005-0000-0000-000080030000}"/>
    <cellStyle name="Normal 8 21" xfId="907" xr:uid="{00000000-0005-0000-0000-000081030000}"/>
    <cellStyle name="Normal 8 22" xfId="908" xr:uid="{00000000-0005-0000-0000-000082030000}"/>
    <cellStyle name="Normal 8 23" xfId="909" xr:uid="{00000000-0005-0000-0000-000083030000}"/>
    <cellStyle name="Normal 8 24" xfId="910" xr:uid="{00000000-0005-0000-0000-000084030000}"/>
    <cellStyle name="Normal 8 25" xfId="911" xr:uid="{00000000-0005-0000-0000-000085030000}"/>
    <cellStyle name="Normal 8 26" xfId="912" xr:uid="{00000000-0005-0000-0000-000086030000}"/>
    <cellStyle name="Normal 8 27" xfId="913" xr:uid="{00000000-0005-0000-0000-000087030000}"/>
    <cellStyle name="Normal 8 3" xfId="914" xr:uid="{00000000-0005-0000-0000-000088030000}"/>
    <cellStyle name="Normal 8 4" xfId="915" xr:uid="{00000000-0005-0000-0000-000089030000}"/>
    <cellStyle name="Normal 8 5" xfId="916" xr:uid="{00000000-0005-0000-0000-00008A030000}"/>
    <cellStyle name="Normal 8 6" xfId="917" xr:uid="{00000000-0005-0000-0000-00008B030000}"/>
    <cellStyle name="Normal 8 7" xfId="918" xr:uid="{00000000-0005-0000-0000-00008C030000}"/>
    <cellStyle name="Normal 8 8" xfId="919" xr:uid="{00000000-0005-0000-0000-00008D030000}"/>
    <cellStyle name="Normal 8 9" xfId="920" xr:uid="{00000000-0005-0000-0000-00008E030000}"/>
    <cellStyle name="Normal 9" xfId="921" xr:uid="{00000000-0005-0000-0000-00008F030000}"/>
    <cellStyle name="Normal_4 12 02 Mtg 2002 Revised 2003 Prelim Budget" xfId="3" xr:uid="{00000000-0005-0000-0000-000090030000}"/>
    <cellStyle name="Normal_MORE 2007 Cost Allocations based on 7 7 06 Prelim Budget" xfId="4" xr:uid="{00000000-0005-0000-0000-000091030000}"/>
    <cellStyle name="Normal_MORE 2007 Cost Allocations based on 7 7 06 Prelim Budget 2" xfId="58" xr:uid="{00000000-0005-0000-0000-000092030000}"/>
    <cellStyle name="Note 2" xfId="922" xr:uid="{00000000-0005-0000-0000-000093030000}"/>
    <cellStyle name="Note 2 10" xfId="923" xr:uid="{00000000-0005-0000-0000-000094030000}"/>
    <cellStyle name="Note 2 11" xfId="924" xr:uid="{00000000-0005-0000-0000-000095030000}"/>
    <cellStyle name="Note 2 12" xfId="925" xr:uid="{00000000-0005-0000-0000-000096030000}"/>
    <cellStyle name="Note 2 13" xfId="926" xr:uid="{00000000-0005-0000-0000-000097030000}"/>
    <cellStyle name="Note 2 14" xfId="927" xr:uid="{00000000-0005-0000-0000-000098030000}"/>
    <cellStyle name="Note 2 15" xfId="928" xr:uid="{00000000-0005-0000-0000-000099030000}"/>
    <cellStyle name="Note 2 16" xfId="929" xr:uid="{00000000-0005-0000-0000-00009A030000}"/>
    <cellStyle name="Note 2 17" xfId="930" xr:uid="{00000000-0005-0000-0000-00009B030000}"/>
    <cellStyle name="Note 2 18" xfId="931" xr:uid="{00000000-0005-0000-0000-00009C030000}"/>
    <cellStyle name="Note 2 19" xfId="932" xr:uid="{00000000-0005-0000-0000-00009D030000}"/>
    <cellStyle name="Note 2 2" xfId="933" xr:uid="{00000000-0005-0000-0000-00009E030000}"/>
    <cellStyle name="Note 2 20" xfId="934" xr:uid="{00000000-0005-0000-0000-00009F030000}"/>
    <cellStyle name="Note 2 21" xfId="935" xr:uid="{00000000-0005-0000-0000-0000A0030000}"/>
    <cellStyle name="Note 2 22" xfId="936" xr:uid="{00000000-0005-0000-0000-0000A1030000}"/>
    <cellStyle name="Note 2 23" xfId="937" xr:uid="{00000000-0005-0000-0000-0000A2030000}"/>
    <cellStyle name="Note 2 24" xfId="938" xr:uid="{00000000-0005-0000-0000-0000A3030000}"/>
    <cellStyle name="Note 2 25" xfId="939" xr:uid="{00000000-0005-0000-0000-0000A4030000}"/>
    <cellStyle name="Note 2 26" xfId="940" xr:uid="{00000000-0005-0000-0000-0000A5030000}"/>
    <cellStyle name="Note 2 27" xfId="941" xr:uid="{00000000-0005-0000-0000-0000A6030000}"/>
    <cellStyle name="Note 2 3" xfId="942" xr:uid="{00000000-0005-0000-0000-0000A7030000}"/>
    <cellStyle name="Note 2 4" xfId="943" xr:uid="{00000000-0005-0000-0000-0000A8030000}"/>
    <cellStyle name="Note 2 5" xfId="944" xr:uid="{00000000-0005-0000-0000-0000A9030000}"/>
    <cellStyle name="Note 2 6" xfId="945" xr:uid="{00000000-0005-0000-0000-0000AA030000}"/>
    <cellStyle name="Note 2 7" xfId="946" xr:uid="{00000000-0005-0000-0000-0000AB030000}"/>
    <cellStyle name="Note 2 8" xfId="947" xr:uid="{00000000-0005-0000-0000-0000AC030000}"/>
    <cellStyle name="Note 2 9" xfId="948" xr:uid="{00000000-0005-0000-0000-0000AD030000}"/>
    <cellStyle name="Note 3" xfId="949" xr:uid="{00000000-0005-0000-0000-0000AE030000}"/>
    <cellStyle name="Note 3 10" xfId="950" xr:uid="{00000000-0005-0000-0000-0000AF030000}"/>
    <cellStyle name="Note 3 11" xfId="951" xr:uid="{00000000-0005-0000-0000-0000B0030000}"/>
    <cellStyle name="Note 3 12" xfId="952" xr:uid="{00000000-0005-0000-0000-0000B1030000}"/>
    <cellStyle name="Note 3 13" xfId="953" xr:uid="{00000000-0005-0000-0000-0000B2030000}"/>
    <cellStyle name="Note 3 14" xfId="954" xr:uid="{00000000-0005-0000-0000-0000B3030000}"/>
    <cellStyle name="Note 3 15" xfId="955" xr:uid="{00000000-0005-0000-0000-0000B4030000}"/>
    <cellStyle name="Note 3 16" xfId="956" xr:uid="{00000000-0005-0000-0000-0000B5030000}"/>
    <cellStyle name="Note 3 17" xfId="957" xr:uid="{00000000-0005-0000-0000-0000B6030000}"/>
    <cellStyle name="Note 3 18" xfId="958" xr:uid="{00000000-0005-0000-0000-0000B7030000}"/>
    <cellStyle name="Note 3 19" xfId="959" xr:uid="{00000000-0005-0000-0000-0000B8030000}"/>
    <cellStyle name="Note 3 2" xfId="960" xr:uid="{00000000-0005-0000-0000-0000B9030000}"/>
    <cellStyle name="Note 3 20" xfId="961" xr:uid="{00000000-0005-0000-0000-0000BA030000}"/>
    <cellStyle name="Note 3 21" xfId="962" xr:uid="{00000000-0005-0000-0000-0000BB030000}"/>
    <cellStyle name="Note 3 22" xfId="963" xr:uid="{00000000-0005-0000-0000-0000BC030000}"/>
    <cellStyle name="Note 3 23" xfId="964" xr:uid="{00000000-0005-0000-0000-0000BD030000}"/>
    <cellStyle name="Note 3 24" xfId="965" xr:uid="{00000000-0005-0000-0000-0000BE030000}"/>
    <cellStyle name="Note 3 25" xfId="966" xr:uid="{00000000-0005-0000-0000-0000BF030000}"/>
    <cellStyle name="Note 3 26" xfId="967" xr:uid="{00000000-0005-0000-0000-0000C0030000}"/>
    <cellStyle name="Note 3 27" xfId="968" xr:uid="{00000000-0005-0000-0000-0000C1030000}"/>
    <cellStyle name="Note 3 3" xfId="969" xr:uid="{00000000-0005-0000-0000-0000C2030000}"/>
    <cellStyle name="Note 3 4" xfId="970" xr:uid="{00000000-0005-0000-0000-0000C3030000}"/>
    <cellStyle name="Note 3 5" xfId="971" xr:uid="{00000000-0005-0000-0000-0000C4030000}"/>
    <cellStyle name="Note 3 6" xfId="972" xr:uid="{00000000-0005-0000-0000-0000C5030000}"/>
    <cellStyle name="Note 3 7" xfId="973" xr:uid="{00000000-0005-0000-0000-0000C6030000}"/>
    <cellStyle name="Note 3 8" xfId="974" xr:uid="{00000000-0005-0000-0000-0000C7030000}"/>
    <cellStyle name="Note 3 9" xfId="975" xr:uid="{00000000-0005-0000-0000-0000C8030000}"/>
    <cellStyle name="Note 4" xfId="976" xr:uid="{00000000-0005-0000-0000-0000C9030000}"/>
    <cellStyle name="Note 4 10" xfId="977" xr:uid="{00000000-0005-0000-0000-0000CA030000}"/>
    <cellStyle name="Note 4 11" xfId="978" xr:uid="{00000000-0005-0000-0000-0000CB030000}"/>
    <cellStyle name="Note 4 12" xfId="979" xr:uid="{00000000-0005-0000-0000-0000CC030000}"/>
    <cellStyle name="Note 4 13" xfId="980" xr:uid="{00000000-0005-0000-0000-0000CD030000}"/>
    <cellStyle name="Note 4 14" xfId="981" xr:uid="{00000000-0005-0000-0000-0000CE030000}"/>
    <cellStyle name="Note 4 15" xfId="982" xr:uid="{00000000-0005-0000-0000-0000CF030000}"/>
    <cellStyle name="Note 4 16" xfId="983" xr:uid="{00000000-0005-0000-0000-0000D0030000}"/>
    <cellStyle name="Note 4 17" xfId="984" xr:uid="{00000000-0005-0000-0000-0000D1030000}"/>
    <cellStyle name="Note 4 18" xfId="985" xr:uid="{00000000-0005-0000-0000-0000D2030000}"/>
    <cellStyle name="Note 4 19" xfId="986" xr:uid="{00000000-0005-0000-0000-0000D3030000}"/>
    <cellStyle name="Note 4 2" xfId="987" xr:uid="{00000000-0005-0000-0000-0000D4030000}"/>
    <cellStyle name="Note 4 20" xfId="988" xr:uid="{00000000-0005-0000-0000-0000D5030000}"/>
    <cellStyle name="Note 4 21" xfId="989" xr:uid="{00000000-0005-0000-0000-0000D6030000}"/>
    <cellStyle name="Note 4 22" xfId="990" xr:uid="{00000000-0005-0000-0000-0000D7030000}"/>
    <cellStyle name="Note 4 23" xfId="991" xr:uid="{00000000-0005-0000-0000-0000D8030000}"/>
    <cellStyle name="Note 4 24" xfId="992" xr:uid="{00000000-0005-0000-0000-0000D9030000}"/>
    <cellStyle name="Note 4 25" xfId="993" xr:uid="{00000000-0005-0000-0000-0000DA030000}"/>
    <cellStyle name="Note 4 26" xfId="994" xr:uid="{00000000-0005-0000-0000-0000DB030000}"/>
    <cellStyle name="Note 4 27" xfId="995" xr:uid="{00000000-0005-0000-0000-0000DC030000}"/>
    <cellStyle name="Note 4 3" xfId="996" xr:uid="{00000000-0005-0000-0000-0000DD030000}"/>
    <cellStyle name="Note 4 4" xfId="997" xr:uid="{00000000-0005-0000-0000-0000DE030000}"/>
    <cellStyle name="Note 4 5" xfId="998" xr:uid="{00000000-0005-0000-0000-0000DF030000}"/>
    <cellStyle name="Note 4 6" xfId="999" xr:uid="{00000000-0005-0000-0000-0000E0030000}"/>
    <cellStyle name="Note 4 7" xfId="1000" xr:uid="{00000000-0005-0000-0000-0000E1030000}"/>
    <cellStyle name="Note 4 8" xfId="1001" xr:uid="{00000000-0005-0000-0000-0000E2030000}"/>
    <cellStyle name="Note 4 9" xfId="1002" xr:uid="{00000000-0005-0000-0000-0000E3030000}"/>
    <cellStyle name="Note 5" xfId="1003" xr:uid="{00000000-0005-0000-0000-0000E4030000}"/>
    <cellStyle name="Note 5 10" xfId="1004" xr:uid="{00000000-0005-0000-0000-0000E5030000}"/>
    <cellStyle name="Note 5 11" xfId="1005" xr:uid="{00000000-0005-0000-0000-0000E6030000}"/>
    <cellStyle name="Note 5 12" xfId="1006" xr:uid="{00000000-0005-0000-0000-0000E7030000}"/>
    <cellStyle name="Note 5 13" xfId="1007" xr:uid="{00000000-0005-0000-0000-0000E8030000}"/>
    <cellStyle name="Note 5 14" xfId="1008" xr:uid="{00000000-0005-0000-0000-0000E9030000}"/>
    <cellStyle name="Note 5 15" xfId="1009" xr:uid="{00000000-0005-0000-0000-0000EA030000}"/>
    <cellStyle name="Note 5 16" xfId="1010" xr:uid="{00000000-0005-0000-0000-0000EB030000}"/>
    <cellStyle name="Note 5 17" xfId="1011" xr:uid="{00000000-0005-0000-0000-0000EC030000}"/>
    <cellStyle name="Note 5 18" xfId="1012" xr:uid="{00000000-0005-0000-0000-0000ED030000}"/>
    <cellStyle name="Note 5 19" xfId="1013" xr:uid="{00000000-0005-0000-0000-0000EE030000}"/>
    <cellStyle name="Note 5 2" xfId="1014" xr:uid="{00000000-0005-0000-0000-0000EF030000}"/>
    <cellStyle name="Note 5 20" xfId="1015" xr:uid="{00000000-0005-0000-0000-0000F0030000}"/>
    <cellStyle name="Note 5 21" xfId="1016" xr:uid="{00000000-0005-0000-0000-0000F1030000}"/>
    <cellStyle name="Note 5 22" xfId="1017" xr:uid="{00000000-0005-0000-0000-0000F2030000}"/>
    <cellStyle name="Note 5 23" xfId="1018" xr:uid="{00000000-0005-0000-0000-0000F3030000}"/>
    <cellStyle name="Note 5 24" xfId="1019" xr:uid="{00000000-0005-0000-0000-0000F4030000}"/>
    <cellStyle name="Note 5 25" xfId="1020" xr:uid="{00000000-0005-0000-0000-0000F5030000}"/>
    <cellStyle name="Note 5 26" xfId="1021" xr:uid="{00000000-0005-0000-0000-0000F6030000}"/>
    <cellStyle name="Note 5 27" xfId="1022" xr:uid="{00000000-0005-0000-0000-0000F7030000}"/>
    <cellStyle name="Note 5 3" xfId="1023" xr:uid="{00000000-0005-0000-0000-0000F8030000}"/>
    <cellStyle name="Note 5 4" xfId="1024" xr:uid="{00000000-0005-0000-0000-0000F9030000}"/>
    <cellStyle name="Note 5 5" xfId="1025" xr:uid="{00000000-0005-0000-0000-0000FA030000}"/>
    <cellStyle name="Note 5 6" xfId="1026" xr:uid="{00000000-0005-0000-0000-0000FB030000}"/>
    <cellStyle name="Note 5 7" xfId="1027" xr:uid="{00000000-0005-0000-0000-0000FC030000}"/>
    <cellStyle name="Note 5 8" xfId="1028" xr:uid="{00000000-0005-0000-0000-0000FD030000}"/>
    <cellStyle name="Note 5 9" xfId="1029" xr:uid="{00000000-0005-0000-0000-0000FE030000}"/>
    <cellStyle name="Note 6" xfId="1030" xr:uid="{00000000-0005-0000-0000-0000FF030000}"/>
    <cellStyle name="Note 6 10" xfId="1031" xr:uid="{00000000-0005-0000-0000-000000040000}"/>
    <cellStyle name="Note 6 11" xfId="1032" xr:uid="{00000000-0005-0000-0000-000001040000}"/>
    <cellStyle name="Note 6 12" xfId="1033" xr:uid="{00000000-0005-0000-0000-000002040000}"/>
    <cellStyle name="Note 6 13" xfId="1034" xr:uid="{00000000-0005-0000-0000-000003040000}"/>
    <cellStyle name="Note 6 14" xfId="1035" xr:uid="{00000000-0005-0000-0000-000004040000}"/>
    <cellStyle name="Note 6 15" xfId="1036" xr:uid="{00000000-0005-0000-0000-000005040000}"/>
    <cellStyle name="Note 6 16" xfId="1037" xr:uid="{00000000-0005-0000-0000-000006040000}"/>
    <cellStyle name="Note 6 17" xfId="1038" xr:uid="{00000000-0005-0000-0000-000007040000}"/>
    <cellStyle name="Note 6 18" xfId="1039" xr:uid="{00000000-0005-0000-0000-000008040000}"/>
    <cellStyle name="Note 6 19" xfId="1040" xr:uid="{00000000-0005-0000-0000-000009040000}"/>
    <cellStyle name="Note 6 2" xfId="1041" xr:uid="{00000000-0005-0000-0000-00000A040000}"/>
    <cellStyle name="Note 6 20" xfId="1042" xr:uid="{00000000-0005-0000-0000-00000B040000}"/>
    <cellStyle name="Note 6 21" xfId="1043" xr:uid="{00000000-0005-0000-0000-00000C040000}"/>
    <cellStyle name="Note 6 22" xfId="1044" xr:uid="{00000000-0005-0000-0000-00000D040000}"/>
    <cellStyle name="Note 6 23" xfId="1045" xr:uid="{00000000-0005-0000-0000-00000E040000}"/>
    <cellStyle name="Note 6 24" xfId="1046" xr:uid="{00000000-0005-0000-0000-00000F040000}"/>
    <cellStyle name="Note 6 25" xfId="1047" xr:uid="{00000000-0005-0000-0000-000010040000}"/>
    <cellStyle name="Note 6 26" xfId="1048" xr:uid="{00000000-0005-0000-0000-000011040000}"/>
    <cellStyle name="Note 6 27" xfId="1049" xr:uid="{00000000-0005-0000-0000-000012040000}"/>
    <cellStyle name="Note 6 3" xfId="1050" xr:uid="{00000000-0005-0000-0000-000013040000}"/>
    <cellStyle name="Note 6 4" xfId="1051" xr:uid="{00000000-0005-0000-0000-000014040000}"/>
    <cellStyle name="Note 6 5" xfId="1052" xr:uid="{00000000-0005-0000-0000-000015040000}"/>
    <cellStyle name="Note 6 6" xfId="1053" xr:uid="{00000000-0005-0000-0000-000016040000}"/>
    <cellStyle name="Note 6 7" xfId="1054" xr:uid="{00000000-0005-0000-0000-000017040000}"/>
    <cellStyle name="Note 6 8" xfId="1055" xr:uid="{00000000-0005-0000-0000-000018040000}"/>
    <cellStyle name="Note 6 9" xfId="1056" xr:uid="{00000000-0005-0000-0000-000019040000}"/>
    <cellStyle name="Note 7" xfId="1057" xr:uid="{00000000-0005-0000-0000-00001A040000}"/>
    <cellStyle name="Note 7 10" xfId="1058" xr:uid="{00000000-0005-0000-0000-00001B040000}"/>
    <cellStyle name="Note 7 11" xfId="1059" xr:uid="{00000000-0005-0000-0000-00001C040000}"/>
    <cellStyle name="Note 7 12" xfId="1060" xr:uid="{00000000-0005-0000-0000-00001D040000}"/>
    <cellStyle name="Note 7 13" xfId="1061" xr:uid="{00000000-0005-0000-0000-00001E040000}"/>
    <cellStyle name="Note 7 14" xfId="1062" xr:uid="{00000000-0005-0000-0000-00001F040000}"/>
    <cellStyle name="Note 7 15" xfId="1063" xr:uid="{00000000-0005-0000-0000-000020040000}"/>
    <cellStyle name="Note 7 16" xfId="1064" xr:uid="{00000000-0005-0000-0000-000021040000}"/>
    <cellStyle name="Note 7 17" xfId="1065" xr:uid="{00000000-0005-0000-0000-000022040000}"/>
    <cellStyle name="Note 7 18" xfId="1066" xr:uid="{00000000-0005-0000-0000-000023040000}"/>
    <cellStyle name="Note 7 19" xfId="1067" xr:uid="{00000000-0005-0000-0000-000024040000}"/>
    <cellStyle name="Note 7 2" xfId="1068" xr:uid="{00000000-0005-0000-0000-000025040000}"/>
    <cellStyle name="Note 7 20" xfId="1069" xr:uid="{00000000-0005-0000-0000-000026040000}"/>
    <cellStyle name="Note 7 21" xfId="1070" xr:uid="{00000000-0005-0000-0000-000027040000}"/>
    <cellStyle name="Note 7 22" xfId="1071" xr:uid="{00000000-0005-0000-0000-000028040000}"/>
    <cellStyle name="Note 7 23" xfId="1072" xr:uid="{00000000-0005-0000-0000-000029040000}"/>
    <cellStyle name="Note 7 24" xfId="1073" xr:uid="{00000000-0005-0000-0000-00002A040000}"/>
    <cellStyle name="Note 7 25" xfId="1074" xr:uid="{00000000-0005-0000-0000-00002B040000}"/>
    <cellStyle name="Note 7 26" xfId="1075" xr:uid="{00000000-0005-0000-0000-00002C040000}"/>
    <cellStyle name="Note 7 27" xfId="1076" xr:uid="{00000000-0005-0000-0000-00002D040000}"/>
    <cellStyle name="Note 7 3" xfId="1077" xr:uid="{00000000-0005-0000-0000-00002E040000}"/>
    <cellStyle name="Note 7 4" xfId="1078" xr:uid="{00000000-0005-0000-0000-00002F040000}"/>
    <cellStyle name="Note 7 5" xfId="1079" xr:uid="{00000000-0005-0000-0000-000030040000}"/>
    <cellStyle name="Note 7 6" xfId="1080" xr:uid="{00000000-0005-0000-0000-000031040000}"/>
    <cellStyle name="Note 7 7" xfId="1081" xr:uid="{00000000-0005-0000-0000-000032040000}"/>
    <cellStyle name="Note 7 8" xfId="1082" xr:uid="{00000000-0005-0000-0000-000033040000}"/>
    <cellStyle name="Note 7 9" xfId="1083" xr:uid="{00000000-0005-0000-0000-000034040000}"/>
    <cellStyle name="Output" xfId="27" builtinId="21" customBuiltin="1"/>
    <cellStyle name="Percent" xfId="5" builtinId="5"/>
    <cellStyle name="Percent 2" xfId="63" xr:uid="{00000000-0005-0000-0000-000037040000}"/>
    <cellStyle name="Percent 3" xfId="59" xr:uid="{00000000-0005-0000-0000-000038040000}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1%20Recommended%20budg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Draft budget"/>
      <sheetName val="Carryover"/>
      <sheetName val="2021 Cost to Libs"/>
      <sheetName val="MORE Approved Formula w'19 Data"/>
      <sheetName val="Reserves"/>
      <sheetName val="2021 Recommended budget"/>
    </sheetNames>
    <sheetDataSet>
      <sheetData sheetId="0" refreshError="1">
        <row r="45">
          <cell r="E45">
            <v>0</v>
          </cell>
          <cell r="H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I77"/>
  <sheetViews>
    <sheetView tabSelected="1" showRuler="0" zoomScale="85" zoomScaleNormal="85" zoomScalePageLayoutView="90" workbookViewId="0"/>
  </sheetViews>
  <sheetFormatPr defaultColWidth="8.75" defaultRowHeight="14.25"/>
  <cols>
    <col min="1" max="1" width="5.125" customWidth="1"/>
    <col min="2" max="2" width="40.375" bestFit="1" customWidth="1"/>
    <col min="3" max="3" width="1.125" customWidth="1"/>
    <col min="4" max="6" width="18" customWidth="1"/>
    <col min="7" max="7" width="1.125" customWidth="1"/>
    <col min="8" max="8" width="18" style="262" customWidth="1"/>
    <col min="9" max="9" width="33.375" customWidth="1"/>
  </cols>
  <sheetData>
    <row r="1" spans="1:9" ht="15">
      <c r="B1" s="1" t="s">
        <v>0</v>
      </c>
    </row>
    <row r="2" spans="1:9" ht="15">
      <c r="B2" s="255" t="s">
        <v>373</v>
      </c>
    </row>
    <row r="3" spans="1:9" ht="15">
      <c r="B3" s="7">
        <v>44008</v>
      </c>
    </row>
    <row r="4" spans="1:9" ht="5.25" customHeight="1" thickBot="1"/>
    <row r="5" spans="1:9" ht="18" customHeight="1">
      <c r="A5" s="9" t="s">
        <v>1</v>
      </c>
      <c r="B5" s="2"/>
      <c r="C5" s="13"/>
      <c r="D5" s="9" t="s">
        <v>336</v>
      </c>
      <c r="E5" s="9" t="s">
        <v>338</v>
      </c>
      <c r="F5" s="9" t="s">
        <v>2</v>
      </c>
      <c r="G5" s="13"/>
      <c r="H5" s="263" t="s">
        <v>374</v>
      </c>
      <c r="I5" s="3"/>
    </row>
    <row r="6" spans="1:9" ht="18" customHeight="1" thickBot="1">
      <c r="A6" s="10" t="s">
        <v>3</v>
      </c>
      <c r="B6" s="4" t="s">
        <v>4</v>
      </c>
      <c r="C6" s="14"/>
      <c r="D6" s="10" t="s">
        <v>337</v>
      </c>
      <c r="E6" s="10" t="s">
        <v>5</v>
      </c>
      <c r="F6" s="10" t="s">
        <v>337</v>
      </c>
      <c r="G6" s="14"/>
      <c r="H6" s="264">
        <v>2021</v>
      </c>
      <c r="I6" s="5" t="s">
        <v>6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265"/>
      <c r="I8" s="278"/>
    </row>
    <row r="9" spans="1:9" ht="44.25" customHeight="1">
      <c r="A9" s="15">
        <v>1</v>
      </c>
      <c r="B9" s="153" t="s">
        <v>7</v>
      </c>
      <c r="C9" s="11"/>
      <c r="D9" s="265">
        <v>130570</v>
      </c>
      <c r="E9" s="140"/>
      <c r="F9" s="294">
        <f>D9+E9</f>
        <v>130570</v>
      </c>
      <c r="G9" s="228"/>
      <c r="H9" s="265">
        <v>139167</v>
      </c>
      <c r="I9" s="134" t="s">
        <v>320</v>
      </c>
    </row>
    <row r="10" spans="1:9" ht="24.75" customHeight="1">
      <c r="A10" s="257">
        <v>2</v>
      </c>
      <c r="B10" s="258" t="s">
        <v>272</v>
      </c>
      <c r="C10" s="11"/>
      <c r="D10" s="162">
        <v>300</v>
      </c>
      <c r="E10" s="8"/>
      <c r="F10" s="294">
        <f>D10+E10</f>
        <v>300</v>
      </c>
      <c r="G10" s="228"/>
      <c r="H10" s="265">
        <v>325</v>
      </c>
      <c r="I10" s="280" t="s">
        <v>283</v>
      </c>
    </row>
    <row r="11" spans="1:9" ht="15">
      <c r="A11" s="257">
        <v>3</v>
      </c>
      <c r="B11" s="153" t="s">
        <v>8</v>
      </c>
      <c r="C11" s="164"/>
      <c r="D11" s="164"/>
      <c r="E11" s="164"/>
      <c r="F11" s="164"/>
      <c r="G11" s="231"/>
      <c r="H11" s="281"/>
      <c r="I11" s="281"/>
    </row>
    <row r="12" spans="1:9" s="254" customFormat="1">
      <c r="A12" s="257">
        <v>4</v>
      </c>
      <c r="B12" s="144" t="s">
        <v>269</v>
      </c>
      <c r="C12" s="228"/>
      <c r="D12" s="162">
        <v>8000</v>
      </c>
      <c r="E12" s="227"/>
      <c r="F12" s="294">
        <f>D12+E12</f>
        <v>8000</v>
      </c>
      <c r="G12" s="228"/>
      <c r="H12" s="265">
        <v>8000</v>
      </c>
      <c r="I12" s="280" t="s">
        <v>319</v>
      </c>
    </row>
    <row r="13" spans="1:9" ht="24.75" customHeight="1">
      <c r="A13" s="257">
        <v>5</v>
      </c>
      <c r="B13" s="258" t="s">
        <v>273</v>
      </c>
      <c r="C13" s="11"/>
      <c r="D13" s="162">
        <v>3000</v>
      </c>
      <c r="E13" s="8"/>
      <c r="F13" s="294">
        <f t="shared" ref="F13:F23" si="0">D13+E13</f>
        <v>3000</v>
      </c>
      <c r="G13" s="228"/>
      <c r="H13" s="265">
        <v>3000</v>
      </c>
      <c r="I13" s="280" t="s">
        <v>291</v>
      </c>
    </row>
    <row r="14" spans="1:9" ht="24.75" customHeight="1">
      <c r="A14" s="257">
        <v>6</v>
      </c>
      <c r="B14" s="258" t="s">
        <v>274</v>
      </c>
      <c r="C14" s="11"/>
      <c r="D14" s="162">
        <v>6700</v>
      </c>
      <c r="E14" s="8"/>
      <c r="F14" s="294">
        <f t="shared" si="0"/>
        <v>6700</v>
      </c>
      <c r="G14" s="228"/>
      <c r="H14" s="265">
        <v>6700</v>
      </c>
      <c r="I14" s="280" t="s">
        <v>286</v>
      </c>
    </row>
    <row r="15" spans="1:9" s="254" customFormat="1" ht="61.5" customHeight="1">
      <c r="A15" s="257">
        <v>7</v>
      </c>
      <c r="B15" s="305" t="s">
        <v>332</v>
      </c>
      <c r="C15" s="228"/>
      <c r="D15" s="162">
        <v>49092</v>
      </c>
      <c r="E15" s="227"/>
      <c r="F15" s="294">
        <f t="shared" si="0"/>
        <v>49092</v>
      </c>
      <c r="G15" s="228"/>
      <c r="H15" s="265">
        <v>50083</v>
      </c>
      <c r="I15" s="309" t="s">
        <v>372</v>
      </c>
    </row>
    <row r="16" spans="1:9" s="254" customFormat="1" ht="28.5">
      <c r="A16" s="257">
        <v>8</v>
      </c>
      <c r="B16" s="256" t="s">
        <v>275</v>
      </c>
      <c r="C16" s="228"/>
      <c r="D16" s="162">
        <v>29000</v>
      </c>
      <c r="E16" s="227"/>
      <c r="F16" s="294">
        <f t="shared" si="0"/>
        <v>29000</v>
      </c>
      <c r="G16" s="228"/>
      <c r="H16" s="265">
        <v>31846</v>
      </c>
      <c r="I16" s="134" t="s">
        <v>318</v>
      </c>
    </row>
    <row r="17" spans="1:9" s="254" customFormat="1">
      <c r="A17" s="257">
        <v>9</v>
      </c>
      <c r="B17" s="256" t="s">
        <v>292</v>
      </c>
      <c r="C17" s="228"/>
      <c r="D17" s="162">
        <v>3000</v>
      </c>
      <c r="E17" s="227"/>
      <c r="F17" s="294">
        <f t="shared" si="0"/>
        <v>3000</v>
      </c>
      <c r="G17" s="228"/>
      <c r="H17" s="265">
        <v>3226</v>
      </c>
      <c r="I17" s="279" t="s">
        <v>288</v>
      </c>
    </row>
    <row r="18" spans="1:9" s="254" customFormat="1" ht="28.5">
      <c r="A18" s="257">
        <v>10</v>
      </c>
      <c r="B18" s="256" t="s">
        <v>293</v>
      </c>
      <c r="C18" s="228"/>
      <c r="D18" s="162">
        <v>9200</v>
      </c>
      <c r="E18" s="231"/>
      <c r="F18" s="294">
        <f t="shared" si="0"/>
        <v>9200</v>
      </c>
      <c r="G18" s="228"/>
      <c r="H18" s="265">
        <v>10596</v>
      </c>
      <c r="I18" s="134" t="s">
        <v>294</v>
      </c>
    </row>
    <row r="19" spans="1:9" s="254" customFormat="1">
      <c r="A19" s="257">
        <v>11</v>
      </c>
      <c r="B19" s="258" t="s">
        <v>333</v>
      </c>
      <c r="C19" s="228"/>
      <c r="D19" s="294">
        <v>11023</v>
      </c>
      <c r="E19" s="227"/>
      <c r="F19" s="294">
        <f t="shared" si="0"/>
        <v>11023</v>
      </c>
      <c r="G19" s="228"/>
      <c r="H19" s="265">
        <v>11023</v>
      </c>
      <c r="I19" s="134"/>
    </row>
    <row r="20" spans="1:9" s="254" customFormat="1" ht="28.5">
      <c r="A20" s="257">
        <v>12</v>
      </c>
      <c r="B20" s="258" t="s">
        <v>335</v>
      </c>
      <c r="C20" s="228"/>
      <c r="D20" s="294">
        <v>30000</v>
      </c>
      <c r="E20" s="227"/>
      <c r="F20" s="294">
        <f t="shared" si="0"/>
        <v>30000</v>
      </c>
      <c r="G20" s="228"/>
      <c r="H20" s="265">
        <v>142000</v>
      </c>
      <c r="I20" s="134" t="s">
        <v>371</v>
      </c>
    </row>
    <row r="21" spans="1:9" s="254" customFormat="1">
      <c r="A21" s="257">
        <v>13</v>
      </c>
      <c r="B21" s="258" t="s">
        <v>276</v>
      </c>
      <c r="C21" s="228"/>
      <c r="D21" s="294"/>
      <c r="E21" s="227"/>
      <c r="F21" s="294">
        <f t="shared" si="0"/>
        <v>0</v>
      </c>
      <c r="G21" s="228"/>
      <c r="H21" s="265"/>
      <c r="I21" s="282"/>
    </row>
    <row r="22" spans="1:9" s="254" customFormat="1">
      <c r="A22" s="257">
        <v>14</v>
      </c>
      <c r="B22" s="258" t="s">
        <v>277</v>
      </c>
      <c r="C22" s="228"/>
      <c r="D22" s="294">
        <v>5000</v>
      </c>
      <c r="E22" s="227"/>
      <c r="F22" s="294">
        <f t="shared" si="0"/>
        <v>5000</v>
      </c>
      <c r="G22" s="228"/>
      <c r="H22" s="265">
        <v>0</v>
      </c>
      <c r="I22" s="282" t="s">
        <v>363</v>
      </c>
    </row>
    <row r="23" spans="1:9">
      <c r="A23" s="257">
        <v>15</v>
      </c>
      <c r="B23" s="258" t="s">
        <v>277</v>
      </c>
      <c r="C23" s="228"/>
      <c r="D23" s="294">
        <v>27046</v>
      </c>
      <c r="E23" s="227"/>
      <c r="F23" s="294">
        <f t="shared" si="0"/>
        <v>27046</v>
      </c>
      <c r="G23" s="228"/>
      <c r="H23" s="265">
        <v>0</v>
      </c>
      <c r="I23" s="282" t="s">
        <v>364</v>
      </c>
    </row>
    <row r="24" spans="1:9" ht="24.75" customHeight="1">
      <c r="A24" s="257">
        <v>16</v>
      </c>
      <c r="B24" s="153" t="s">
        <v>9</v>
      </c>
      <c r="C24" s="164"/>
      <c r="D24" s="266"/>
      <c r="E24" s="164"/>
      <c r="F24" s="164"/>
      <c r="G24" s="231"/>
      <c r="H24" s="274"/>
      <c r="I24" s="281"/>
    </row>
    <row r="25" spans="1:9" ht="63.75">
      <c r="A25" s="257">
        <v>17</v>
      </c>
      <c r="B25" s="21" t="s">
        <v>278</v>
      </c>
      <c r="C25" s="11"/>
      <c r="D25" s="265">
        <v>290000</v>
      </c>
      <c r="E25" s="227"/>
      <c r="F25" s="294">
        <f>D25+E25</f>
        <v>290000</v>
      </c>
      <c r="G25" s="228"/>
      <c r="H25" s="265">
        <v>290000</v>
      </c>
      <c r="I25" s="283" t="s">
        <v>334</v>
      </c>
    </row>
    <row r="26" spans="1:9" s="254" customFormat="1" ht="24.75" customHeight="1">
      <c r="A26" s="257">
        <v>18</v>
      </c>
      <c r="B26" s="21" t="s">
        <v>285</v>
      </c>
      <c r="C26" s="228"/>
      <c r="D26" s="162">
        <v>3500</v>
      </c>
      <c r="E26" s="227"/>
      <c r="F26" s="294">
        <f>D26+E26</f>
        <v>3500</v>
      </c>
      <c r="G26" s="228"/>
      <c r="H26" s="265">
        <v>3500</v>
      </c>
      <c r="I26" s="283" t="s">
        <v>324</v>
      </c>
    </row>
    <row r="27" spans="1:9" ht="24.75" customHeight="1">
      <c r="A27" s="257">
        <v>19</v>
      </c>
      <c r="B27" s="153" t="s">
        <v>10</v>
      </c>
      <c r="C27" s="164"/>
      <c r="D27" s="190"/>
      <c r="E27" s="164"/>
      <c r="F27" s="164"/>
      <c r="G27" s="231"/>
      <c r="H27" s="274"/>
      <c r="I27" s="281"/>
    </row>
    <row r="28" spans="1:9" ht="19.5" customHeight="1">
      <c r="A28" s="257">
        <v>20</v>
      </c>
      <c r="B28" s="21" t="s">
        <v>271</v>
      </c>
      <c r="C28" s="11"/>
      <c r="D28" s="162">
        <v>1000</v>
      </c>
      <c r="E28" s="231"/>
      <c r="F28" s="294">
        <f>D28+E28</f>
        <v>1000</v>
      </c>
      <c r="G28" s="228"/>
      <c r="H28" s="265">
        <v>1000</v>
      </c>
      <c r="I28" s="278" t="s">
        <v>279</v>
      </c>
    </row>
    <row r="29" spans="1:9" ht="25.5">
      <c r="A29" s="257">
        <v>21</v>
      </c>
      <c r="B29" s="21" t="s">
        <v>11</v>
      </c>
      <c r="C29" s="11"/>
      <c r="D29" s="162">
        <v>10000</v>
      </c>
      <c r="E29" s="227"/>
      <c r="F29" s="294">
        <f>D29+E29</f>
        <v>10000</v>
      </c>
      <c r="G29" s="228"/>
      <c r="H29" s="265">
        <v>10000</v>
      </c>
      <c r="I29" s="278" t="s">
        <v>307</v>
      </c>
    </row>
    <row r="30" spans="1:9" ht="24.75" customHeight="1">
      <c r="A30" s="257">
        <v>22</v>
      </c>
      <c r="B30" s="153" t="s">
        <v>12</v>
      </c>
      <c r="C30" s="164"/>
      <c r="D30" s="190"/>
      <c r="E30" s="164"/>
      <c r="F30" s="164"/>
      <c r="G30" s="231"/>
      <c r="H30" s="274"/>
      <c r="I30" s="281"/>
    </row>
    <row r="31" spans="1:9" ht="24.75" customHeight="1">
      <c r="A31" s="257">
        <v>23</v>
      </c>
      <c r="B31" s="21" t="s">
        <v>13</v>
      </c>
      <c r="C31" s="11"/>
      <c r="D31" s="162">
        <v>3000</v>
      </c>
      <c r="E31" s="231"/>
      <c r="F31" s="294">
        <f>D31+E31</f>
        <v>3000</v>
      </c>
      <c r="G31" s="228"/>
      <c r="H31" s="265">
        <v>3000</v>
      </c>
      <c r="I31" s="278" t="s">
        <v>280</v>
      </c>
    </row>
    <row r="32" spans="1:9" ht="24.75" customHeight="1">
      <c r="A32" s="257">
        <v>24</v>
      </c>
      <c r="B32" s="21" t="s">
        <v>14</v>
      </c>
      <c r="C32" s="11"/>
      <c r="D32" s="162">
        <v>39520</v>
      </c>
      <c r="E32" s="231"/>
      <c r="F32" s="294">
        <f>D32+E32</f>
        <v>39520</v>
      </c>
      <c r="G32" s="228"/>
      <c r="H32" s="265">
        <v>40000</v>
      </c>
      <c r="I32" s="278" t="s">
        <v>308</v>
      </c>
    </row>
    <row r="33" spans="1:9" ht="24.75" customHeight="1">
      <c r="A33" s="257">
        <v>25</v>
      </c>
      <c r="B33" s="22" t="s">
        <v>15</v>
      </c>
      <c r="C33" s="11"/>
      <c r="D33" s="162">
        <v>5000</v>
      </c>
      <c r="E33" s="227"/>
      <c r="F33" s="294">
        <f>D33+E33</f>
        <v>5000</v>
      </c>
      <c r="G33" s="228"/>
      <c r="H33" s="265">
        <v>5000</v>
      </c>
      <c r="I33" s="278"/>
    </row>
    <row r="34" spans="1:9" ht="24.75" customHeight="1">
      <c r="A34" s="257">
        <v>26</v>
      </c>
      <c r="B34" s="153" t="s">
        <v>16</v>
      </c>
      <c r="C34" s="164"/>
      <c r="D34" s="190"/>
      <c r="E34" s="164"/>
      <c r="F34" s="164"/>
      <c r="G34" s="231"/>
      <c r="H34" s="274"/>
      <c r="I34" s="281"/>
    </row>
    <row r="35" spans="1:9" ht="39">
      <c r="A35" s="257">
        <v>27</v>
      </c>
      <c r="B35" s="163" t="s">
        <v>17</v>
      </c>
      <c r="C35" s="11"/>
      <c r="D35" s="265">
        <v>106995</v>
      </c>
      <c r="E35" s="231"/>
      <c r="F35" s="294">
        <f t="shared" ref="F35:F39" si="1">D35+E35</f>
        <v>106995</v>
      </c>
      <c r="G35" s="228"/>
      <c r="H35" s="265">
        <v>113165</v>
      </c>
      <c r="I35" s="278" t="s">
        <v>309</v>
      </c>
    </row>
    <row r="36" spans="1:9" ht="34.5" customHeight="1">
      <c r="A36" s="257">
        <v>28</v>
      </c>
      <c r="B36" s="22" t="s">
        <v>18</v>
      </c>
      <c r="C36" s="12"/>
      <c r="D36" s="162">
        <v>33000</v>
      </c>
      <c r="E36" s="231"/>
      <c r="F36" s="294">
        <f t="shared" si="1"/>
        <v>33000</v>
      </c>
      <c r="G36" s="228"/>
      <c r="H36" s="162">
        <v>33000</v>
      </c>
      <c r="I36" s="278" t="s">
        <v>365</v>
      </c>
    </row>
    <row r="37" spans="1:9" s="254" customFormat="1" ht="34.5" customHeight="1">
      <c r="A37" s="257">
        <v>29</v>
      </c>
      <c r="B37" s="22" t="s">
        <v>322</v>
      </c>
      <c r="C37" s="12"/>
      <c r="D37" s="162">
        <v>18000</v>
      </c>
      <c r="E37" s="231"/>
      <c r="F37" s="294">
        <f t="shared" si="1"/>
        <v>18000</v>
      </c>
      <c r="G37" s="228"/>
      <c r="H37" s="162">
        <v>18000</v>
      </c>
      <c r="I37" s="278" t="s">
        <v>366</v>
      </c>
    </row>
    <row r="38" spans="1:9" ht="15" customHeight="1">
      <c r="A38" s="257">
        <v>30</v>
      </c>
      <c r="B38" s="22" t="s">
        <v>258</v>
      </c>
      <c r="C38" s="12"/>
      <c r="D38" s="162">
        <v>10000</v>
      </c>
      <c r="E38" s="162"/>
      <c r="F38" s="294">
        <f t="shared" si="1"/>
        <v>10000</v>
      </c>
      <c r="G38" s="228"/>
      <c r="H38" s="162">
        <v>10000</v>
      </c>
      <c r="I38" s="278"/>
    </row>
    <row r="39" spans="1:9" ht="51" customHeight="1">
      <c r="A39" s="257">
        <v>31</v>
      </c>
      <c r="B39" s="22" t="s">
        <v>287</v>
      </c>
      <c r="C39" s="12"/>
      <c r="D39" s="162">
        <v>20000</v>
      </c>
      <c r="E39" s="232"/>
      <c r="F39" s="294">
        <f t="shared" si="1"/>
        <v>20000</v>
      </c>
      <c r="G39" s="228"/>
      <c r="H39" s="162">
        <v>20000</v>
      </c>
      <c r="I39" s="278" t="s">
        <v>367</v>
      </c>
    </row>
    <row r="40" spans="1:9" ht="24.75" customHeight="1">
      <c r="A40" s="257">
        <v>32</v>
      </c>
      <c r="B40" s="165" t="s">
        <v>19</v>
      </c>
      <c r="C40" s="12"/>
      <c r="D40" s="190">
        <f>SUM(D35:D39)</f>
        <v>187995</v>
      </c>
      <c r="E40" s="190"/>
      <c r="F40" s="190">
        <f>SUM(F35:F39)</f>
        <v>187995</v>
      </c>
      <c r="G40" s="12"/>
      <c r="H40" s="274">
        <f>SUM(H35:H39)</f>
        <v>194165</v>
      </c>
      <c r="I40" s="281"/>
    </row>
    <row r="41" spans="1:9" ht="24.75" customHeight="1">
      <c r="A41" s="257">
        <v>33</v>
      </c>
      <c r="B41" s="153" t="s">
        <v>20</v>
      </c>
      <c r="C41" s="164"/>
      <c r="D41" s="164"/>
      <c r="E41" s="164"/>
      <c r="F41" s="164"/>
      <c r="G41" s="164"/>
      <c r="H41" s="275"/>
      <c r="I41" s="281"/>
    </row>
    <row r="42" spans="1:9">
      <c r="A42" s="257">
        <v>34</v>
      </c>
      <c r="B42" s="22" t="s">
        <v>21</v>
      </c>
      <c r="C42" s="11"/>
      <c r="D42" s="231"/>
      <c r="E42" s="231"/>
      <c r="F42" s="227"/>
      <c r="G42" s="11"/>
      <c r="H42" s="290"/>
      <c r="I42" s="285" t="s">
        <v>343</v>
      </c>
    </row>
    <row r="43" spans="1:9">
      <c r="A43" s="257">
        <v>35</v>
      </c>
      <c r="B43" s="22" t="s">
        <v>22</v>
      </c>
      <c r="C43" s="11"/>
      <c r="D43" s="231"/>
      <c r="E43" s="227"/>
      <c r="F43" s="227"/>
      <c r="G43" s="11"/>
      <c r="H43" s="290"/>
      <c r="I43" s="285" t="s">
        <v>344</v>
      </c>
    </row>
    <row r="44" spans="1:9">
      <c r="A44" s="257">
        <v>36</v>
      </c>
      <c r="B44" s="22" t="s">
        <v>23</v>
      </c>
      <c r="C44" s="11"/>
      <c r="D44" s="231"/>
      <c r="E44" s="227"/>
      <c r="F44" s="227"/>
      <c r="G44" s="11"/>
      <c r="H44" s="290"/>
      <c r="I44" s="285" t="s">
        <v>345</v>
      </c>
    </row>
    <row r="45" spans="1:9" ht="24.75" customHeight="1">
      <c r="A45" s="257">
        <v>37</v>
      </c>
      <c r="B45" s="22" t="s">
        <v>24</v>
      </c>
      <c r="C45" s="11"/>
      <c r="D45" s="76">
        <v>32046</v>
      </c>
      <c r="E45" s="76">
        <v>0</v>
      </c>
      <c r="F45" s="76">
        <f t="shared" ref="F45" si="2">D45+E45</f>
        <v>32046</v>
      </c>
      <c r="G45" s="11"/>
      <c r="H45" s="276">
        <v>0</v>
      </c>
      <c r="I45" s="286"/>
    </row>
    <row r="46" spans="1:9" ht="24.75" customHeight="1" thickBot="1">
      <c r="A46" s="257">
        <v>38</v>
      </c>
      <c r="B46" s="23"/>
      <c r="C46" s="18"/>
      <c r="D46" s="267"/>
      <c r="E46" s="17"/>
      <c r="F46" s="17"/>
      <c r="G46" s="18"/>
      <c r="H46" s="290"/>
      <c r="I46" s="287"/>
    </row>
    <row r="47" spans="1:9" ht="22.5" customHeight="1" thickBot="1">
      <c r="A47" s="257">
        <v>39</v>
      </c>
      <c r="B47" s="82" t="s">
        <v>25</v>
      </c>
      <c r="C47" s="83"/>
      <c r="D47" s="293">
        <f>SUM(D9:D39)-D45</f>
        <v>819900</v>
      </c>
      <c r="E47" s="152">
        <f>SUM(E9:E39)-E45</f>
        <v>0</v>
      </c>
      <c r="F47" s="152">
        <f>SUM(F9:F39)-F45</f>
        <v>819900</v>
      </c>
      <c r="G47" s="83"/>
      <c r="H47" s="296">
        <f>SUM(H9:H39)-H45</f>
        <v>952631</v>
      </c>
      <c r="I47" s="288" t="s">
        <v>26</v>
      </c>
    </row>
    <row r="48" spans="1:9" ht="15" customHeight="1">
      <c r="A48" s="257">
        <v>40</v>
      </c>
      <c r="B48" s="26"/>
      <c r="C48" s="20"/>
      <c r="D48" s="268"/>
      <c r="E48" s="19"/>
      <c r="F48" s="19"/>
      <c r="G48" s="20"/>
      <c r="H48" s="290"/>
      <c r="I48" s="289"/>
    </row>
    <row r="49" spans="1:9" ht="24.75" customHeight="1">
      <c r="A49" s="257">
        <v>41</v>
      </c>
      <c r="B49" s="24" t="s">
        <v>270</v>
      </c>
      <c r="C49" s="11"/>
      <c r="D49" s="269">
        <v>224000</v>
      </c>
      <c r="E49" s="8"/>
      <c r="F49" s="178">
        <v>224000</v>
      </c>
      <c r="G49" s="11"/>
      <c r="H49" s="269">
        <v>224000</v>
      </c>
      <c r="I49" s="284"/>
    </row>
    <row r="50" spans="1:9" ht="15.75" customHeight="1" thickBot="1">
      <c r="A50" s="257">
        <v>42</v>
      </c>
      <c r="B50" s="24"/>
      <c r="C50" s="11"/>
      <c r="D50" s="265"/>
      <c r="E50" s="8"/>
      <c r="F50" s="8"/>
      <c r="G50" s="11"/>
      <c r="H50" s="273"/>
      <c r="I50" s="8"/>
    </row>
    <row r="51" spans="1:9" ht="24.75" customHeight="1" thickBot="1">
      <c r="A51" s="257">
        <v>43</v>
      </c>
      <c r="B51" s="25" t="s">
        <v>27</v>
      </c>
      <c r="C51" s="128"/>
      <c r="D51" s="270"/>
      <c r="E51" s="253"/>
      <c r="F51" s="145">
        <f>Carryover!C126</f>
        <v>80764.579999999973</v>
      </c>
      <c r="G51" s="128"/>
      <c r="H51" s="295">
        <f>F51-H45</f>
        <v>80764.579999999973</v>
      </c>
      <c r="I51" s="134" t="s">
        <v>28</v>
      </c>
    </row>
    <row r="52" spans="1:9" ht="24.75" customHeight="1">
      <c r="A52" s="257"/>
      <c r="B52" s="21"/>
      <c r="C52" s="11"/>
      <c r="D52" s="19"/>
      <c r="E52" s="19"/>
      <c r="F52" s="19"/>
      <c r="G52" s="11"/>
      <c r="H52" s="277"/>
      <c r="I52" s="8"/>
    </row>
    <row r="53" spans="1:9" ht="6.75" customHeight="1"/>
    <row r="59" spans="1:9" ht="15">
      <c r="A59" s="1"/>
    </row>
    <row r="61" spans="1:9" ht="15">
      <c r="B61" s="1"/>
    </row>
    <row r="72" spans="2:2" ht="24.75" customHeight="1">
      <c r="B72" s="1"/>
    </row>
    <row r="73" spans="2:2" ht="29.25" customHeight="1"/>
    <row r="77" spans="2:2" ht="24" customHeight="1">
      <c r="B77" s="1"/>
    </row>
  </sheetData>
  <phoneticPr fontId="0" type="noConversion"/>
  <printOptions horizontalCentered="1"/>
  <pageMargins left="0.36" right="0.35" top="0.48" bottom="0.56999999999999995" header="0.22" footer="0.27"/>
  <pageSetup scale="78" fitToHeight="2" orientation="landscape" r:id="rId1"/>
  <headerFooter>
    <oddHeader>&amp;C&amp;K0000002021 Recommended MORE Budget</oddHeader>
    <oddFooter>&amp;CPage &amp;P&amp;R2021 Recommended MORE Budget.xlsx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3:F132"/>
  <sheetViews>
    <sheetView showRuler="0" zoomScale="83" zoomScaleNormal="83" workbookViewId="0">
      <selection activeCell="C132" sqref="C132"/>
    </sheetView>
  </sheetViews>
  <sheetFormatPr defaultColWidth="8.75" defaultRowHeight="14.25"/>
  <cols>
    <col min="1" max="1" width="5.125" customWidth="1"/>
    <col min="2" max="2" width="41.75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3" spans="1:6" ht="15">
      <c r="E3" s="306"/>
    </row>
    <row r="4" spans="1:6" ht="15">
      <c r="E4" s="306"/>
    </row>
    <row r="5" spans="1:6" s="254" customFormat="1" ht="15">
      <c r="E5" s="306" t="s">
        <v>237</v>
      </c>
    </row>
    <row r="6" spans="1:6" s="254" customFormat="1" ht="15">
      <c r="E6" s="306" t="s">
        <v>360</v>
      </c>
    </row>
    <row r="7" spans="1:6" ht="15">
      <c r="A7" s="1" t="s">
        <v>29</v>
      </c>
      <c r="E7" s="188" t="s">
        <v>361</v>
      </c>
    </row>
    <row r="8" spans="1:6" ht="15.75" thickBot="1">
      <c r="E8" s="188" t="s">
        <v>30</v>
      </c>
      <c r="F8" s="191" t="s">
        <v>31</v>
      </c>
    </row>
    <row r="9" spans="1:6" ht="15.75" hidden="1" thickBot="1">
      <c r="B9" s="1" t="s">
        <v>32</v>
      </c>
      <c r="C9" s="130">
        <v>490267.7</v>
      </c>
      <c r="F9" s="180">
        <v>300000</v>
      </c>
    </row>
    <row r="10" spans="1:6" hidden="1">
      <c r="B10" t="s">
        <v>33</v>
      </c>
      <c r="C10" s="131">
        <v>-300000</v>
      </c>
    </row>
    <row r="11" spans="1:6" hidden="1">
      <c r="B11" t="s">
        <v>34</v>
      </c>
      <c r="C11" s="131">
        <v>-46260</v>
      </c>
    </row>
    <row r="12" spans="1:6" hidden="1">
      <c r="B12" t="s">
        <v>35</v>
      </c>
      <c r="C12" s="131">
        <v>43000</v>
      </c>
    </row>
    <row r="13" spans="1:6" hidden="1">
      <c r="B13" t="s">
        <v>36</v>
      </c>
      <c r="C13" s="131">
        <v>18000</v>
      </c>
    </row>
    <row r="14" spans="1:6" hidden="1">
      <c r="B14" t="s">
        <v>37</v>
      </c>
      <c r="C14" s="132">
        <v>27000</v>
      </c>
    </row>
    <row r="15" spans="1:6" hidden="1">
      <c r="B15" t="s">
        <v>38</v>
      </c>
      <c r="C15" s="132">
        <v>18000</v>
      </c>
    </row>
    <row r="16" spans="1:6" hidden="1">
      <c r="B16" t="s">
        <v>39</v>
      </c>
      <c r="C16" s="132">
        <v>27000</v>
      </c>
    </row>
    <row r="17" spans="2:5" hidden="1">
      <c r="B17" t="s">
        <v>40</v>
      </c>
      <c r="C17" s="132">
        <v>-32950</v>
      </c>
    </row>
    <row r="18" spans="2:5" hidden="1">
      <c r="B18" t="s">
        <v>41</v>
      </c>
      <c r="C18" s="132">
        <v>-6544</v>
      </c>
    </row>
    <row r="19" spans="2:5" ht="15" hidden="1" thickBot="1">
      <c r="B19" t="s">
        <v>42</v>
      </c>
      <c r="C19" s="132">
        <v>30177.18</v>
      </c>
    </row>
    <row r="20" spans="2:5" ht="24.75" hidden="1" customHeight="1" thickBot="1">
      <c r="B20" s="1" t="s">
        <v>43</v>
      </c>
      <c r="C20" s="129">
        <f>SUM(C9:C19)</f>
        <v>267690.88</v>
      </c>
      <c r="E20" s="129">
        <f>C20+300000</f>
        <v>567690.88</v>
      </c>
    </row>
    <row r="21" spans="2:5" ht="29.25" hidden="1" customHeight="1">
      <c r="B21" t="s">
        <v>44</v>
      </c>
      <c r="C21" s="127">
        <v>-104250</v>
      </c>
    </row>
    <row r="22" spans="2:5" hidden="1">
      <c r="B22" t="s">
        <v>45</v>
      </c>
      <c r="C22" s="131">
        <v>-4853</v>
      </c>
    </row>
    <row r="23" spans="2:5" hidden="1">
      <c r="B23" t="s">
        <v>46</v>
      </c>
      <c r="C23" s="131">
        <v>31500</v>
      </c>
    </row>
    <row r="24" spans="2:5" hidden="1">
      <c r="B24" t="s">
        <v>47</v>
      </c>
      <c r="C24" s="131">
        <v>27000</v>
      </c>
    </row>
    <row r="25" spans="2:5" hidden="1">
      <c r="B25" t="s">
        <v>40</v>
      </c>
      <c r="C25" s="131">
        <v>-23507</v>
      </c>
    </row>
    <row r="26" spans="2:5" hidden="1">
      <c r="B26" t="s">
        <v>48</v>
      </c>
      <c r="C26" s="131">
        <v>-3029</v>
      </c>
    </row>
    <row r="27" spans="2:5" ht="15" hidden="1" thickBot="1">
      <c r="B27" t="s">
        <v>49</v>
      </c>
      <c r="C27" s="131">
        <v>-27524.5</v>
      </c>
    </row>
    <row r="28" spans="2:5" ht="24" hidden="1" customHeight="1" thickBot="1">
      <c r="B28" s="50" t="s">
        <v>50</v>
      </c>
      <c r="C28" s="129">
        <f>SUM(C20:C27)</f>
        <v>163027.38</v>
      </c>
      <c r="E28" s="129">
        <f>C28+300000</f>
        <v>463027.38</v>
      </c>
    </row>
    <row r="29" spans="2:5" ht="31.5" hidden="1" customHeight="1">
      <c r="B29" t="s">
        <v>51</v>
      </c>
      <c r="C29" s="133">
        <f>-5918-12500-1294.81-259-3500</f>
        <v>-23471.81</v>
      </c>
    </row>
    <row r="30" spans="2:5" hidden="1">
      <c r="B30" t="s">
        <v>52</v>
      </c>
      <c r="C30" s="131">
        <v>-6312</v>
      </c>
      <c r="D30" t="s">
        <v>53</v>
      </c>
    </row>
    <row r="31" spans="2:5" hidden="1">
      <c r="B31" t="s">
        <v>54</v>
      </c>
      <c r="C31" s="131">
        <v>40500</v>
      </c>
      <c r="D31" t="s">
        <v>55</v>
      </c>
    </row>
    <row r="32" spans="2:5" hidden="1">
      <c r="B32" t="s">
        <v>56</v>
      </c>
      <c r="C32" s="131">
        <v>18000</v>
      </c>
      <c r="D32" t="s">
        <v>55</v>
      </c>
    </row>
    <row r="33" spans="2:5" hidden="1">
      <c r="B33" t="s">
        <v>57</v>
      </c>
      <c r="C33" s="131">
        <v>31500</v>
      </c>
      <c r="D33" t="s">
        <v>58</v>
      </c>
      <c r="E33" s="135" t="s">
        <v>59</v>
      </c>
    </row>
    <row r="34" spans="2:5" hidden="1">
      <c r="B34" t="s">
        <v>60</v>
      </c>
      <c r="C34" s="131">
        <v>18000</v>
      </c>
      <c r="D34" t="s">
        <v>55</v>
      </c>
    </row>
    <row r="35" spans="2:5" hidden="1">
      <c r="B35" t="s">
        <v>61</v>
      </c>
      <c r="C35" s="131">
        <v>54000</v>
      </c>
      <c r="D35" t="s">
        <v>55</v>
      </c>
    </row>
    <row r="36" spans="2:5" hidden="1">
      <c r="B36" t="s">
        <v>62</v>
      </c>
      <c r="C36" s="131">
        <v>13500</v>
      </c>
      <c r="D36" t="s">
        <v>63</v>
      </c>
    </row>
    <row r="37" spans="2:5" hidden="1">
      <c r="B37" t="s">
        <v>64</v>
      </c>
      <c r="C37" s="131">
        <v>-117625</v>
      </c>
    </row>
    <row r="38" spans="2:5" hidden="1">
      <c r="B38" t="s">
        <v>40</v>
      </c>
      <c r="C38" s="131">
        <f>-18750-6750-6750-1462.5</f>
        <v>-33712.5</v>
      </c>
    </row>
    <row r="39" spans="2:5" hidden="1">
      <c r="B39" t="s">
        <v>48</v>
      </c>
      <c r="C39" s="131">
        <f>-11017.27-1150.34</f>
        <v>-12167.61</v>
      </c>
    </row>
    <row r="40" spans="2:5" hidden="1">
      <c r="B40" t="s">
        <v>65</v>
      </c>
      <c r="C40" s="131">
        <v>-3376.25</v>
      </c>
    </row>
    <row r="41" spans="2:5" hidden="1">
      <c r="B41" t="s">
        <v>66</v>
      </c>
      <c r="C41" s="131">
        <v>-11625</v>
      </c>
    </row>
    <row r="42" spans="2:5" ht="15" hidden="1" thickBot="1">
      <c r="B42" t="s">
        <v>67</v>
      </c>
      <c r="C42">
        <v>3240.49</v>
      </c>
    </row>
    <row r="43" spans="2:5" ht="30.75" hidden="1" customHeight="1" thickBot="1">
      <c r="B43" s="50" t="s">
        <v>68</v>
      </c>
      <c r="C43" s="129">
        <f>SUM(C28:C42)</f>
        <v>133477.70000000001</v>
      </c>
      <c r="E43" s="129">
        <f>C43+300000</f>
        <v>433477.7</v>
      </c>
    </row>
    <row r="44" spans="2:5" ht="29.25" hidden="1" customHeight="1">
      <c r="B44" t="s">
        <v>69</v>
      </c>
      <c r="C44" s="133">
        <f>-13125-79875-9000</f>
        <v>-102000</v>
      </c>
    </row>
    <row r="45" spans="2:5" hidden="1">
      <c r="B45" t="s">
        <v>70</v>
      </c>
      <c r="C45" s="131">
        <v>-18286.02</v>
      </c>
    </row>
    <row r="46" spans="2:5" hidden="1">
      <c r="B46" t="s">
        <v>71</v>
      </c>
      <c r="C46" s="131">
        <v>-3623.75</v>
      </c>
    </row>
    <row r="47" spans="2:5" hidden="1">
      <c r="B47" t="s">
        <v>72</v>
      </c>
      <c r="C47" s="131">
        <v>88678</v>
      </c>
    </row>
    <row r="48" spans="2:5" hidden="1">
      <c r="B48" t="s">
        <v>73</v>
      </c>
      <c r="C48" s="131">
        <v>-20825</v>
      </c>
    </row>
    <row r="49" spans="2:6" hidden="1">
      <c r="B49" t="s">
        <v>74</v>
      </c>
      <c r="C49" s="131">
        <v>-2125</v>
      </c>
    </row>
    <row r="50" spans="2:6" hidden="1">
      <c r="B50" t="s">
        <v>75</v>
      </c>
      <c r="C50" s="131">
        <v>-877.94</v>
      </c>
    </row>
    <row r="51" spans="2:6" hidden="1">
      <c r="B51" t="s">
        <v>76</v>
      </c>
      <c r="C51" s="131">
        <v>-3000</v>
      </c>
    </row>
    <row r="52" spans="2:6" hidden="1">
      <c r="B52" t="s">
        <v>77</v>
      </c>
      <c r="C52" s="131">
        <v>-15000</v>
      </c>
    </row>
    <row r="53" spans="2:6" ht="15" hidden="1" thickBot="1">
      <c r="B53" t="s">
        <v>78</v>
      </c>
      <c r="C53" s="131">
        <v>11626.97</v>
      </c>
    </row>
    <row r="54" spans="2:6" ht="30.75" hidden="1" customHeight="1" thickBot="1">
      <c r="B54" s="50" t="s">
        <v>79</v>
      </c>
      <c r="C54" s="129">
        <f>SUM(C43:C53)</f>
        <v>68044.960000000006</v>
      </c>
      <c r="E54" s="129">
        <f>C54+300000</f>
        <v>368044.96</v>
      </c>
      <c r="F54" s="180">
        <v>300000</v>
      </c>
    </row>
    <row r="55" spans="2:6" ht="28.5" hidden="1" customHeight="1">
      <c r="B55" t="s">
        <v>80</v>
      </c>
      <c r="C55" s="133">
        <v>-40850</v>
      </c>
    </row>
    <row r="56" spans="2:6" hidden="1">
      <c r="B56" t="s">
        <v>72</v>
      </c>
      <c r="C56" s="131">
        <v>30678</v>
      </c>
    </row>
    <row r="57" spans="2:6" hidden="1">
      <c r="B57" t="s">
        <v>81</v>
      </c>
      <c r="C57" s="131">
        <v>13500</v>
      </c>
    </row>
    <row r="58" spans="2:6" hidden="1">
      <c r="B58" t="s">
        <v>82</v>
      </c>
      <c r="C58" s="159">
        <v>-4950</v>
      </c>
    </row>
    <row r="59" spans="2:6" ht="15" hidden="1" thickBot="1">
      <c r="B59" t="s">
        <v>83</v>
      </c>
      <c r="C59" s="159">
        <v>5394.93</v>
      </c>
      <c r="F59" s="191" t="s">
        <v>31</v>
      </c>
    </row>
    <row r="60" spans="2:6" ht="30.75" hidden="1" customHeight="1" thickBot="1">
      <c r="B60" s="50" t="s">
        <v>84</v>
      </c>
      <c r="C60" s="129">
        <f>SUM(C54:C59)</f>
        <v>71817.890000000014</v>
      </c>
      <c r="E60" s="129">
        <f>C60+300000</f>
        <v>371817.89</v>
      </c>
      <c r="F60" s="180">
        <v>300000</v>
      </c>
    </row>
    <row r="61" spans="2:6" ht="27.75" hidden="1" customHeight="1"/>
    <row r="62" spans="2:6" hidden="1">
      <c r="B62" t="s">
        <v>85</v>
      </c>
      <c r="C62" s="133">
        <v>-14000</v>
      </c>
    </row>
    <row r="63" spans="2:6" hidden="1">
      <c r="B63" t="s">
        <v>86</v>
      </c>
      <c r="C63" s="127">
        <v>27000</v>
      </c>
    </row>
    <row r="64" spans="2:6" hidden="1">
      <c r="B64" t="s">
        <v>87</v>
      </c>
      <c r="C64" s="127">
        <v>36000</v>
      </c>
    </row>
    <row r="65" spans="2:6" hidden="1">
      <c r="B65" t="s">
        <v>88</v>
      </c>
      <c r="C65" s="127">
        <v>-7500</v>
      </c>
    </row>
    <row r="66" spans="2:6" hidden="1">
      <c r="B66" t="s">
        <v>89</v>
      </c>
      <c r="C66" s="127">
        <v>-7500</v>
      </c>
    </row>
    <row r="67" spans="2:6" hidden="1">
      <c r="B67" t="s">
        <v>90</v>
      </c>
      <c r="C67" s="131">
        <v>-944</v>
      </c>
    </row>
    <row r="68" spans="2:6" ht="15" hidden="1" thickBot="1">
      <c r="B68" s="192" t="s">
        <v>91</v>
      </c>
      <c r="C68" s="179">
        <v>-25401.83</v>
      </c>
      <c r="E68" s="181"/>
      <c r="F68" s="191" t="s">
        <v>31</v>
      </c>
    </row>
    <row r="69" spans="2:6" ht="30.75" hidden="1" customHeight="1" thickBot="1">
      <c r="B69" s="229" t="s">
        <v>265</v>
      </c>
      <c r="C69" s="129">
        <f>E60-F60+SUM(C62:C68)</f>
        <v>79472.060000000012</v>
      </c>
      <c r="E69" s="129">
        <f>C69+298509</f>
        <v>377981.06</v>
      </c>
      <c r="F69" s="180">
        <v>280317</v>
      </c>
    </row>
    <row r="70" spans="2:6" ht="27.75" hidden="1" customHeight="1"/>
    <row r="71" spans="2:6" hidden="1">
      <c r="B71" t="s">
        <v>92</v>
      </c>
      <c r="C71" s="133">
        <v>0</v>
      </c>
    </row>
    <row r="72" spans="2:6" hidden="1">
      <c r="B72" t="s">
        <v>93</v>
      </c>
      <c r="C72" s="127">
        <v>12000</v>
      </c>
    </row>
    <row r="73" spans="2:6" hidden="1">
      <c r="B73" t="s">
        <v>94</v>
      </c>
      <c r="C73" s="131">
        <v>-6496</v>
      </c>
    </row>
    <row r="74" spans="2:6" hidden="1">
      <c r="B74" s="192" t="s">
        <v>95</v>
      </c>
      <c r="C74" s="131">
        <v>-11596</v>
      </c>
      <c r="E74" s="181"/>
      <c r="F74" s="191"/>
    </row>
    <row r="75" spans="2:6" ht="15" hidden="1" thickBot="1">
      <c r="B75" s="192" t="s">
        <v>96</v>
      </c>
      <c r="C75" s="131">
        <f>19783.51-4975</f>
        <v>14808.509999999998</v>
      </c>
      <c r="E75" s="181"/>
      <c r="F75" s="191" t="s">
        <v>31</v>
      </c>
    </row>
    <row r="76" spans="2:6" ht="30.75" hidden="1" customHeight="1" thickBot="1">
      <c r="B76" s="229" t="s">
        <v>266</v>
      </c>
      <c r="C76" s="129">
        <f>E69-F69+SUM(C71:C75)</f>
        <v>106380.56999999999</v>
      </c>
      <c r="E76" s="129">
        <f>C76+F76</f>
        <v>306380.57</v>
      </c>
      <c r="F76" s="180">
        <v>200000</v>
      </c>
    </row>
    <row r="77" spans="2:6" ht="27.75" hidden="1" customHeight="1"/>
    <row r="78" spans="2:6" hidden="1">
      <c r="B78" t="s">
        <v>97</v>
      </c>
      <c r="C78" s="133">
        <v>-29950</v>
      </c>
    </row>
    <row r="79" spans="2:6" hidden="1">
      <c r="B79" t="s">
        <v>93</v>
      </c>
      <c r="C79" s="127">
        <v>6000</v>
      </c>
    </row>
    <row r="80" spans="2:6" hidden="1">
      <c r="B80" t="s">
        <v>98</v>
      </c>
      <c r="C80" s="131">
        <v>0</v>
      </c>
    </row>
    <row r="81" spans="2:6" ht="15" hidden="1" thickBot="1">
      <c r="B81" s="254" t="s">
        <v>260</v>
      </c>
      <c r="C81" s="131">
        <v>33048.75</v>
      </c>
      <c r="E81" s="181"/>
      <c r="F81" s="191" t="s">
        <v>31</v>
      </c>
    </row>
    <row r="82" spans="2:6" ht="30.75" hidden="1" customHeight="1" thickBot="1">
      <c r="B82" s="229" t="s">
        <v>267</v>
      </c>
      <c r="C82" s="129">
        <f>SUM(C76:C81)</f>
        <v>115479.31999999999</v>
      </c>
      <c r="E82" s="129">
        <f>C82+F82</f>
        <v>315479.32</v>
      </c>
      <c r="F82" s="180">
        <v>200000</v>
      </c>
    </row>
    <row r="83" spans="2:6" ht="27.75" hidden="1" customHeight="1"/>
    <row r="84" spans="2:6" hidden="1">
      <c r="B84" s="251" t="s">
        <v>263</v>
      </c>
      <c r="C84" s="133">
        <v>-32500</v>
      </c>
    </row>
    <row r="85" spans="2:6" s="254" customFormat="1" hidden="1">
      <c r="B85" s="251" t="s">
        <v>264</v>
      </c>
      <c r="C85" s="252">
        <v>-2300.44</v>
      </c>
    </row>
    <row r="86" spans="2:6" s="254" customFormat="1" hidden="1">
      <c r="B86" s="254" t="s">
        <v>268</v>
      </c>
      <c r="C86" s="252">
        <f>-12000+0</f>
        <v>-12000</v>
      </c>
    </row>
    <row r="87" spans="2:6" hidden="1">
      <c r="B87" s="254" t="s">
        <v>262</v>
      </c>
      <c r="C87" s="127">
        <v>0</v>
      </c>
    </row>
    <row r="88" spans="2:6" hidden="1">
      <c r="B88" s="192" t="s">
        <v>99</v>
      </c>
      <c r="C88" s="131">
        <v>0</v>
      </c>
    </row>
    <row r="89" spans="2:6" s="254" customFormat="1" hidden="1">
      <c r="B89" s="254" t="s">
        <v>284</v>
      </c>
      <c r="C89" s="239">
        <f>76561.19-68678.88</f>
        <v>7882.3099999999977</v>
      </c>
    </row>
    <row r="90" spans="2:6" ht="15" hidden="1" thickBot="1">
      <c r="B90" s="192"/>
      <c r="C90" s="131">
        <v>0</v>
      </c>
      <c r="E90" s="181"/>
      <c r="F90" s="191" t="s">
        <v>31</v>
      </c>
    </row>
    <row r="91" spans="2:6" ht="30.75" hidden="1" customHeight="1" thickBot="1">
      <c r="B91" s="229" t="s">
        <v>296</v>
      </c>
      <c r="C91" s="129">
        <f>SUM(C82:C90)</f>
        <v>76561.189999999988</v>
      </c>
      <c r="E91" s="129">
        <f>C91+F91</f>
        <v>300561.19</v>
      </c>
      <c r="F91" s="180">
        <v>224000</v>
      </c>
    </row>
    <row r="92" spans="2:6" ht="27.75" hidden="1" customHeight="1"/>
    <row r="93" spans="2:6" hidden="1">
      <c r="B93" s="254" t="s">
        <v>261</v>
      </c>
      <c r="C93" s="240">
        <v>-15000</v>
      </c>
      <c r="D93" s="254"/>
      <c r="E93" s="254"/>
      <c r="F93" s="254"/>
    </row>
    <row r="94" spans="2:6" s="254" customFormat="1" hidden="1">
      <c r="B94" s="245" t="s">
        <v>302</v>
      </c>
      <c r="C94" s="240">
        <v>-26950</v>
      </c>
    </row>
    <row r="95" spans="2:6" s="254" customFormat="1" hidden="1">
      <c r="C95" s="239">
        <v>0</v>
      </c>
    </row>
    <row r="96" spans="2:6" ht="15" hidden="1" thickBot="1">
      <c r="B96" s="254" t="s">
        <v>289</v>
      </c>
      <c r="C96" s="239">
        <v>35676.6</v>
      </c>
      <c r="D96" s="254"/>
      <c r="E96" s="243"/>
      <c r="F96" s="244" t="s">
        <v>31</v>
      </c>
    </row>
    <row r="97" spans="2:6" ht="30.75" hidden="1" customHeight="1" thickBot="1">
      <c r="B97" s="229" t="s">
        <v>297</v>
      </c>
      <c r="C97" s="238">
        <f>SUM(C91:C96)</f>
        <v>70287.789999999979</v>
      </c>
      <c r="D97" s="254"/>
      <c r="E97" s="238">
        <f>C97+F97</f>
        <v>294287.78999999998</v>
      </c>
      <c r="F97" s="242">
        <v>224000</v>
      </c>
    </row>
    <row r="98" spans="2:6" ht="27.75" hidden="1" customHeight="1"/>
    <row r="99" spans="2:6" hidden="1">
      <c r="B99" s="245" t="s">
        <v>295</v>
      </c>
      <c r="C99" s="240">
        <v>0</v>
      </c>
      <c r="D99" s="254"/>
      <c r="E99" s="254"/>
      <c r="F99" s="254"/>
    </row>
    <row r="100" spans="2:6" hidden="1">
      <c r="B100" s="245" t="s">
        <v>299</v>
      </c>
      <c r="C100" s="239">
        <v>-7356.78</v>
      </c>
      <c r="D100" s="254"/>
      <c r="E100" s="254"/>
      <c r="F100" s="254"/>
    </row>
    <row r="101" spans="2:6" ht="15" hidden="1" thickBot="1">
      <c r="B101" s="245"/>
      <c r="C101" s="239">
        <v>0</v>
      </c>
      <c r="D101" s="254"/>
      <c r="E101" s="243"/>
      <c r="F101" s="244" t="s">
        <v>31</v>
      </c>
    </row>
    <row r="102" spans="2:6" ht="30" hidden="1" customHeight="1" thickBot="1">
      <c r="B102" s="229" t="s">
        <v>298</v>
      </c>
      <c r="C102" s="238">
        <f>SUM(C97:C101)</f>
        <v>62931.00999999998</v>
      </c>
      <c r="D102" s="254"/>
      <c r="E102" s="238">
        <f>C102+F102</f>
        <v>286931.01</v>
      </c>
      <c r="F102" s="242">
        <v>224000</v>
      </c>
    </row>
    <row r="103" spans="2:6" ht="27.75" hidden="1" customHeight="1"/>
    <row r="104" spans="2:6" hidden="1">
      <c r="B104" s="245" t="s">
        <v>300</v>
      </c>
      <c r="C104" s="307">
        <v>0</v>
      </c>
      <c r="D104" s="254"/>
      <c r="E104" s="254"/>
      <c r="F104" s="254"/>
    </row>
    <row r="105" spans="2:6" hidden="1">
      <c r="B105" s="245" t="s">
        <v>317</v>
      </c>
      <c r="C105" s="240">
        <v>0</v>
      </c>
      <c r="D105" s="254"/>
      <c r="E105" s="254"/>
      <c r="F105" s="291">
        <v>35990</v>
      </c>
    </row>
    <row r="106" spans="2:6" hidden="1">
      <c r="B106" s="245" t="s">
        <v>301</v>
      </c>
      <c r="C106" s="239">
        <v>25924.240000000002</v>
      </c>
      <c r="D106" s="254"/>
      <c r="E106" s="254"/>
      <c r="F106" s="254"/>
    </row>
    <row r="107" spans="2:6" ht="15" hidden="1" thickBot="1">
      <c r="B107" s="245"/>
      <c r="C107" s="239">
        <v>0</v>
      </c>
      <c r="D107" s="254"/>
      <c r="E107" s="243"/>
      <c r="F107" s="244" t="s">
        <v>31</v>
      </c>
    </row>
    <row r="108" spans="2:6" ht="30.75" hidden="1" customHeight="1" thickBot="1">
      <c r="B108" s="229" t="s">
        <v>311</v>
      </c>
      <c r="C108" s="238">
        <f>SUM(C102:C107)</f>
        <v>88855.249999999985</v>
      </c>
      <c r="D108" s="254"/>
      <c r="E108" s="238">
        <f>C108+F108</f>
        <v>348845.25</v>
      </c>
      <c r="F108" s="242">
        <f>224000+35990</f>
        <v>259990</v>
      </c>
    </row>
    <row r="109" spans="2:6" ht="27" hidden="1" customHeight="1"/>
    <row r="110" spans="2:6" hidden="1">
      <c r="B110" s="245" t="s">
        <v>303</v>
      </c>
      <c r="C110" s="240">
        <v>35990</v>
      </c>
      <c r="D110" s="254"/>
      <c r="E110" s="254"/>
      <c r="F110" s="254"/>
    </row>
    <row r="111" spans="2:6" hidden="1">
      <c r="B111" s="245" t="s">
        <v>313</v>
      </c>
      <c r="C111" s="240">
        <v>0</v>
      </c>
      <c r="D111" s="254"/>
      <c r="E111" s="254"/>
      <c r="F111" s="254"/>
    </row>
    <row r="112" spans="2:6" hidden="1">
      <c r="B112" s="245" t="s">
        <v>304</v>
      </c>
      <c r="C112" s="239">
        <v>28913.82</v>
      </c>
      <c r="D112" s="254"/>
      <c r="E112" s="254"/>
      <c r="F112" s="254"/>
    </row>
    <row r="113" spans="2:6" ht="15" hidden="1" thickBot="1">
      <c r="B113" s="245"/>
      <c r="C113" s="239">
        <v>0</v>
      </c>
      <c r="D113" s="254"/>
      <c r="E113" s="243"/>
      <c r="F113" s="244" t="s">
        <v>31</v>
      </c>
    </row>
    <row r="114" spans="2:6" ht="30.75" customHeight="1" thickBot="1">
      <c r="B114" s="229" t="s">
        <v>306</v>
      </c>
      <c r="C114" s="238">
        <f>SUM(C108:C113)</f>
        <v>153759.06999999998</v>
      </c>
      <c r="D114" s="254"/>
      <c r="E114" s="238">
        <f>C114+F114</f>
        <v>377759.06999999995</v>
      </c>
      <c r="F114" s="242">
        <v>224000</v>
      </c>
    </row>
    <row r="115" spans="2:6" ht="27" customHeight="1"/>
    <row r="116" spans="2:6">
      <c r="B116" s="245" t="s">
        <v>314</v>
      </c>
      <c r="C116" s="240">
        <v>-20500</v>
      </c>
      <c r="D116" s="254"/>
      <c r="E116" s="254"/>
      <c r="F116" s="254"/>
    </row>
    <row r="117" spans="2:6">
      <c r="B117" s="245" t="s">
        <v>315</v>
      </c>
      <c r="C117" s="240">
        <v>-2500</v>
      </c>
      <c r="D117" s="254"/>
      <c r="E117" s="254"/>
      <c r="F117" s="254"/>
    </row>
    <row r="118" spans="2:6">
      <c r="B118" s="245" t="s">
        <v>316</v>
      </c>
      <c r="C118" s="239">
        <v>-17948.490000000002</v>
      </c>
      <c r="D118" s="254"/>
      <c r="E118" s="254"/>
      <c r="F118" s="254"/>
    </row>
    <row r="119" spans="2:6" ht="15" thickBot="1">
      <c r="B119" s="245"/>
      <c r="C119" s="239">
        <v>0</v>
      </c>
      <c r="D119" s="254"/>
      <c r="E119" s="243"/>
      <c r="F119" s="244" t="s">
        <v>31</v>
      </c>
    </row>
    <row r="120" spans="2:6" ht="30.75" customHeight="1" thickBot="1">
      <c r="B120" s="229" t="s">
        <v>312</v>
      </c>
      <c r="C120" s="238">
        <f>SUM(C114:C119)</f>
        <v>112810.57999999997</v>
      </c>
      <c r="D120" s="254"/>
      <c r="E120" s="238">
        <f>C120+F120</f>
        <v>336810.57999999996</v>
      </c>
      <c r="F120" s="242">
        <v>224000</v>
      </c>
    </row>
    <row r="122" spans="2:6">
      <c r="B122" s="245" t="s">
        <v>325</v>
      </c>
      <c r="C122" s="240">
        <v>-32046</v>
      </c>
      <c r="D122" s="254"/>
      <c r="E122" s="254"/>
      <c r="F122" s="254"/>
    </row>
    <row r="123" spans="2:6">
      <c r="B123" s="245" t="s">
        <v>326</v>
      </c>
      <c r="C123" s="307">
        <f>'[1]2021 Draft budget'!E45*-1</f>
        <v>0</v>
      </c>
      <c r="D123" s="254"/>
      <c r="E123" s="254"/>
      <c r="F123" s="254"/>
    </row>
    <row r="124" spans="2:6">
      <c r="B124" s="245" t="s">
        <v>327</v>
      </c>
      <c r="C124" s="239">
        <v>0</v>
      </c>
      <c r="D124" s="254"/>
      <c r="E124" s="254"/>
      <c r="F124" s="254"/>
    </row>
    <row r="125" spans="2:6" ht="15" thickBot="1">
      <c r="B125" s="245"/>
      <c r="C125" s="239">
        <v>0</v>
      </c>
      <c r="D125" s="254"/>
      <c r="E125" s="243"/>
      <c r="F125" s="244" t="s">
        <v>31</v>
      </c>
    </row>
    <row r="126" spans="2:6" ht="30" customHeight="1" thickBot="1">
      <c r="B126" s="229" t="s">
        <v>328</v>
      </c>
      <c r="C126" s="238">
        <f>SUM(C120:C125)</f>
        <v>80764.579999999973</v>
      </c>
      <c r="D126" s="254"/>
      <c r="E126" s="242">
        <f>C126+F126</f>
        <v>304764.57999999996</v>
      </c>
      <c r="F126" s="242">
        <v>224000</v>
      </c>
    </row>
    <row r="128" spans="2:6">
      <c r="B128" s="245" t="s">
        <v>339</v>
      </c>
      <c r="C128" s="307">
        <f>'[1]2021 Draft budget'!H45</f>
        <v>0</v>
      </c>
      <c r="D128" s="254"/>
      <c r="E128" s="254"/>
      <c r="F128" s="254"/>
    </row>
    <row r="129" spans="2:6">
      <c r="B129" s="245" t="s">
        <v>340</v>
      </c>
      <c r="C129" s="240">
        <v>0</v>
      </c>
      <c r="D129" s="254"/>
      <c r="E129" s="254"/>
      <c r="F129" s="254"/>
    </row>
    <row r="130" spans="2:6">
      <c r="B130" s="245" t="s">
        <v>341</v>
      </c>
      <c r="C130" s="239">
        <v>0</v>
      </c>
      <c r="D130" s="254"/>
      <c r="E130" s="254"/>
      <c r="F130" s="254"/>
    </row>
    <row r="131" spans="2:6" ht="15" thickBot="1">
      <c r="B131" s="245"/>
      <c r="C131" s="239">
        <v>0</v>
      </c>
      <c r="D131" s="254"/>
      <c r="E131" s="243"/>
      <c r="F131" s="244" t="s">
        <v>31</v>
      </c>
    </row>
    <row r="132" spans="2:6" ht="30" customHeight="1" thickBot="1">
      <c r="B132" s="229" t="s">
        <v>342</v>
      </c>
      <c r="C132" s="238">
        <f>SUM(C126:C131)</f>
        <v>80764.579999999973</v>
      </c>
      <c r="D132" s="254"/>
      <c r="E132" s="238">
        <f>C132+F132</f>
        <v>304764.57999999996</v>
      </c>
      <c r="F132" s="242">
        <v>224000</v>
      </c>
    </row>
  </sheetData>
  <phoneticPr fontId="0" type="noConversion"/>
  <printOptions horizontalCentered="1"/>
  <pageMargins left="0.36" right="0.35" top="0.98" bottom="0.6" header="0.47" footer="0.46"/>
  <pageSetup scale="92" orientation="portrait" horizontalDpi="4294967292" verticalDpi="4294967292" r:id="rId1"/>
  <headerFooter>
    <oddHeader>&amp;C2021 Recommended MORE Budget</oddHeader>
    <oddFooter>&amp;A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K94"/>
  <sheetViews>
    <sheetView showRuler="0" zoomScaleNormal="100" workbookViewId="0"/>
  </sheetViews>
  <sheetFormatPr defaultColWidth="8.75" defaultRowHeight="14.25"/>
  <cols>
    <col min="1" max="1" width="3.25" customWidth="1"/>
    <col min="2" max="2" width="1.375" customWidth="1"/>
    <col min="3" max="3" width="28.75" bestFit="1" customWidth="1"/>
    <col min="4" max="4" width="12.625" customWidth="1"/>
    <col min="5" max="5" width="18.375" bestFit="1" customWidth="1"/>
    <col min="6" max="6" width="10.375" customWidth="1"/>
    <col min="7" max="7" width="10.875" customWidth="1"/>
    <col min="8" max="8" width="10.875" hidden="1" customWidth="1"/>
    <col min="9" max="10" width="10.625" customWidth="1"/>
  </cols>
  <sheetData>
    <row r="1" spans="1:11" ht="15">
      <c r="A1" s="1" t="s">
        <v>346</v>
      </c>
    </row>
    <row r="2" spans="1:11">
      <c r="A2" s="62" t="s">
        <v>375</v>
      </c>
    </row>
    <row r="3" spans="1:11" ht="15" thickBot="1">
      <c r="A3" s="64" t="s">
        <v>370</v>
      </c>
    </row>
    <row r="4" spans="1:11" ht="15.75" thickBot="1">
      <c r="C4" s="65" t="s">
        <v>347</v>
      </c>
      <c r="D4" s="78">
        <f>'2021 Recommended budget'!H47</f>
        <v>952631</v>
      </c>
      <c r="E4" s="80"/>
      <c r="F4" s="81"/>
    </row>
    <row r="5" spans="1:11" ht="15.75" thickBot="1">
      <c r="C5" s="65" t="s">
        <v>348</v>
      </c>
      <c r="D5" s="78">
        <f>'MORE Approved Formula w''19 Data'!D5</f>
        <v>39158</v>
      </c>
      <c r="E5" s="80"/>
      <c r="F5" s="81"/>
    </row>
    <row r="6" spans="1:11" ht="15.75" thickBot="1">
      <c r="C6" s="65" t="s">
        <v>349</v>
      </c>
      <c r="D6" s="78">
        <f>D4-D5</f>
        <v>913473</v>
      </c>
      <c r="E6" s="80"/>
      <c r="F6" s="81"/>
      <c r="I6" s="311" t="s">
        <v>100</v>
      </c>
      <c r="J6" s="311"/>
    </row>
    <row r="7" spans="1:11" ht="15" thickBot="1">
      <c r="B7" s="126" t="s">
        <v>350</v>
      </c>
      <c r="C7" s="126"/>
      <c r="D7" s="67"/>
      <c r="E7" s="271">
        <f>'MORE Approved Formula w''19 Data'!J2</f>
        <v>1000</v>
      </c>
      <c r="G7" s="68"/>
      <c r="I7" s="171" t="s">
        <v>101</v>
      </c>
      <c r="J7" s="171" t="s">
        <v>102</v>
      </c>
    </row>
    <row r="8" spans="1:11" ht="26.25" customHeight="1" thickBot="1">
      <c r="A8" s="126" t="s">
        <v>103</v>
      </c>
      <c r="C8" s="66"/>
      <c r="D8" s="67"/>
      <c r="E8" s="68"/>
      <c r="F8" s="68"/>
      <c r="I8" s="170">
        <f>'MORE Approved Formula w''19 Data'!F5</f>
        <v>194165</v>
      </c>
      <c r="J8" s="170">
        <f>D6-I8</f>
        <v>719308</v>
      </c>
    </row>
    <row r="9" spans="1:11" ht="82.5" customHeight="1" thickBot="1">
      <c r="A9" s="63" t="s">
        <v>104</v>
      </c>
      <c r="B9" s="77"/>
      <c r="C9" s="193" t="s">
        <v>105</v>
      </c>
      <c r="D9" s="182" t="s">
        <v>281</v>
      </c>
      <c r="E9" s="194" t="s">
        <v>282</v>
      </c>
      <c r="F9" s="195" t="s">
        <v>290</v>
      </c>
      <c r="G9" s="177" t="s">
        <v>351</v>
      </c>
      <c r="H9" s="194" t="s">
        <v>106</v>
      </c>
      <c r="I9" s="182" t="s">
        <v>352</v>
      </c>
      <c r="J9" s="183" t="s">
        <v>353</v>
      </c>
    </row>
    <row r="10" spans="1:11" ht="16.350000000000001" customHeight="1">
      <c r="A10" s="149">
        <v>1</v>
      </c>
      <c r="B10" s="57"/>
      <c r="C10" s="196" t="s">
        <v>107</v>
      </c>
      <c r="D10" s="197">
        <f>'MORE Approved Formula w''19 Data'!H9</f>
        <v>3.6508691198498928E-2</v>
      </c>
      <c r="E10" s="198">
        <f>($D$6*D10)</f>
        <v>33349.703675166413</v>
      </c>
      <c r="F10" s="199">
        <f>IF(AND((E10-$E$7)&lt;800,(E10-$E$7)&lt;1000),E10-800,$E$7)</f>
        <v>1000</v>
      </c>
      <c r="G10" s="200">
        <f>E10-F10</f>
        <v>32349.703675166413</v>
      </c>
      <c r="H10" s="201">
        <f>ROUND(D10*1000,0)</f>
        <v>37</v>
      </c>
      <c r="I10" s="202">
        <f>ROUND($I$8*D10,0)</f>
        <v>7089</v>
      </c>
      <c r="J10" s="202">
        <f>G10-I10</f>
        <v>25260.703675166413</v>
      </c>
      <c r="K10" t="s">
        <v>259</v>
      </c>
    </row>
    <row r="11" spans="1:11" ht="16.350000000000001" customHeight="1">
      <c r="A11" s="150">
        <v>2</v>
      </c>
      <c r="B11" s="56"/>
      <c r="C11" s="203" t="s">
        <v>108</v>
      </c>
      <c r="D11" s="197">
        <f>'MORE Approved Formula w''19 Data'!H12</f>
        <v>1.7142608790785538E-2</v>
      </c>
      <c r="E11" s="72">
        <f t="shared" ref="E11:E60" si="0">($D$6*D11)</f>
        <v>15659.310279945237</v>
      </c>
      <c r="F11" s="69">
        <f>IF(AND((E11-$E$7)&lt;800,(E11-$E$7)&lt;1000),E11-800,$E$7)</f>
        <v>1000</v>
      </c>
      <c r="G11" s="204">
        <f t="shared" ref="G11:G60" si="1">E11-F11</f>
        <v>14659.310279945237</v>
      </c>
      <c r="H11" s="172">
        <f t="shared" ref="H11:H56" si="2">ROUND(D11*1000,0)</f>
        <v>17</v>
      </c>
      <c r="I11" s="72">
        <f>ROUND($I$8*D11,0)</f>
        <v>3328</v>
      </c>
      <c r="J11" s="72">
        <f>G11-I11</f>
        <v>11331.310279945237</v>
      </c>
      <c r="K11" t="s">
        <v>259</v>
      </c>
    </row>
    <row r="12" spans="1:11" ht="16.350000000000001" customHeight="1">
      <c r="A12" s="150">
        <v>3</v>
      </c>
      <c r="B12" s="56"/>
      <c r="C12" s="203" t="s">
        <v>109</v>
      </c>
      <c r="D12" s="197">
        <f>'MORE Approved Formula w''19 Data'!H13</f>
        <v>6.8195391420527822E-3</v>
      </c>
      <c r="E12" s="72">
        <f t="shared" si="0"/>
        <v>6229.4648787083815</v>
      </c>
      <c r="F12" s="69">
        <f t="shared" ref="F12:F60" si="3">IF(AND((E12-$E$7)&lt;800,(E12-$E$7)&lt;1000),E12-800,$E$7)</f>
        <v>1000</v>
      </c>
      <c r="G12" s="204">
        <f t="shared" si="1"/>
        <v>5229.4648787083815</v>
      </c>
      <c r="H12" s="172">
        <f t="shared" si="2"/>
        <v>7</v>
      </c>
      <c r="I12" s="72">
        <f t="shared" ref="I12:I60" si="4">ROUND($I$8*D12,0)</f>
        <v>1324</v>
      </c>
      <c r="J12" s="72">
        <f t="shared" ref="J12:J60" si="5">G12-I12</f>
        <v>3905.4648787083815</v>
      </c>
      <c r="K12" t="s">
        <v>259</v>
      </c>
    </row>
    <row r="13" spans="1:11" ht="16.350000000000001" customHeight="1">
      <c r="A13" s="150">
        <v>4</v>
      </c>
      <c r="B13" s="56"/>
      <c r="C13" s="203" t="s">
        <v>110</v>
      </c>
      <c r="D13" s="197"/>
      <c r="E13" s="72">
        <f t="shared" si="0"/>
        <v>0</v>
      </c>
      <c r="F13" s="69">
        <v>0</v>
      </c>
      <c r="G13" s="204">
        <f t="shared" si="1"/>
        <v>0</v>
      </c>
      <c r="H13" s="172">
        <f t="shared" si="2"/>
        <v>0</v>
      </c>
      <c r="I13" s="72">
        <f t="shared" si="4"/>
        <v>0</v>
      </c>
      <c r="J13" s="72">
        <f t="shared" si="5"/>
        <v>0</v>
      </c>
    </row>
    <row r="14" spans="1:11" ht="16.350000000000001" customHeight="1">
      <c r="A14" s="150">
        <v>5</v>
      </c>
      <c r="B14" s="56"/>
      <c r="C14" s="203" t="s">
        <v>111</v>
      </c>
      <c r="D14" s="197">
        <f>'MORE Approved Formula w''19 Data'!H26</f>
        <v>3.7405086956945276E-3</v>
      </c>
      <c r="E14" s="72">
        <f t="shared" si="0"/>
        <v>3416.853699782167</v>
      </c>
      <c r="F14" s="69">
        <f t="shared" si="3"/>
        <v>1000</v>
      </c>
      <c r="G14" s="204">
        <f t="shared" si="1"/>
        <v>2416.853699782167</v>
      </c>
      <c r="H14" s="172">
        <f t="shared" si="2"/>
        <v>4</v>
      </c>
      <c r="I14" s="72">
        <f t="shared" si="4"/>
        <v>726</v>
      </c>
      <c r="J14" s="72">
        <f t="shared" si="5"/>
        <v>1690.853699782167</v>
      </c>
    </row>
    <row r="15" spans="1:11" ht="16.350000000000001" customHeight="1">
      <c r="A15" s="150">
        <v>6</v>
      </c>
      <c r="B15" s="56"/>
      <c r="C15" s="203" t="s">
        <v>112</v>
      </c>
      <c r="D15" s="197">
        <f>'MORE Approved Formula w''19 Data'!H27</f>
        <v>5.2730925410131501E-3</v>
      </c>
      <c r="E15" s="72">
        <f t="shared" si="0"/>
        <v>4816.8276627169053</v>
      </c>
      <c r="F15" s="69">
        <f t="shared" si="3"/>
        <v>1000</v>
      </c>
      <c r="G15" s="204">
        <f t="shared" si="1"/>
        <v>3816.8276627169053</v>
      </c>
      <c r="H15" s="172">
        <f t="shared" si="2"/>
        <v>5</v>
      </c>
      <c r="I15" s="72">
        <f t="shared" si="4"/>
        <v>1024</v>
      </c>
      <c r="J15" s="72">
        <f t="shared" si="5"/>
        <v>2792.8276627169053</v>
      </c>
    </row>
    <row r="16" spans="1:11" ht="16.350000000000001" customHeight="1">
      <c r="A16" s="150">
        <v>7</v>
      </c>
      <c r="B16" s="56"/>
      <c r="C16" s="203" t="s">
        <v>113</v>
      </c>
      <c r="D16" s="197">
        <f>'MORE Approved Formula w''19 Data'!H29</f>
        <v>1.6845496215467687E-2</v>
      </c>
      <c r="E16" s="72">
        <f t="shared" si="0"/>
        <v>15387.905964431915</v>
      </c>
      <c r="F16" s="69">
        <f t="shared" si="3"/>
        <v>1000</v>
      </c>
      <c r="G16" s="204">
        <f t="shared" si="1"/>
        <v>14387.905964431915</v>
      </c>
      <c r="H16" s="172">
        <f t="shared" si="2"/>
        <v>17</v>
      </c>
      <c r="I16" s="72">
        <f t="shared" si="4"/>
        <v>3271</v>
      </c>
      <c r="J16" s="72">
        <f t="shared" si="5"/>
        <v>11116.905964431915</v>
      </c>
      <c r="K16" t="s">
        <v>259</v>
      </c>
    </row>
    <row r="17" spans="1:11" ht="16.350000000000001" customHeight="1">
      <c r="A17" s="150">
        <v>8</v>
      </c>
      <c r="B17" s="56"/>
      <c r="C17" s="203" t="s">
        <v>114</v>
      </c>
      <c r="D17" s="197">
        <f>'MORE Approved Formula w''19 Data'!H33</f>
        <v>5.2983827034771541E-3</v>
      </c>
      <c r="E17" s="72">
        <f t="shared" si="0"/>
        <v>4839.9295432933859</v>
      </c>
      <c r="F17" s="69">
        <f t="shared" si="3"/>
        <v>1000</v>
      </c>
      <c r="G17" s="204">
        <f t="shared" si="1"/>
        <v>3839.9295432933859</v>
      </c>
      <c r="H17" s="172">
        <f t="shared" si="2"/>
        <v>5</v>
      </c>
      <c r="I17" s="72">
        <f t="shared" si="4"/>
        <v>1029</v>
      </c>
      <c r="J17" s="72">
        <f t="shared" si="5"/>
        <v>2810.9295432933859</v>
      </c>
      <c r="K17" t="s">
        <v>259</v>
      </c>
    </row>
    <row r="18" spans="1:11" ht="16.350000000000001" customHeight="1">
      <c r="A18" s="150">
        <v>9</v>
      </c>
      <c r="B18" s="56"/>
      <c r="C18" s="203" t="s">
        <v>115</v>
      </c>
      <c r="D18" s="197">
        <f>'MORE Approved Formula w''19 Data'!H35</f>
        <v>5.4177897372146053E-2</v>
      </c>
      <c r="E18" s="72">
        <f t="shared" si="0"/>
        <v>49490.04644622637</v>
      </c>
      <c r="F18" s="69">
        <f t="shared" si="3"/>
        <v>1000</v>
      </c>
      <c r="G18" s="204">
        <f t="shared" si="1"/>
        <v>48490.04644622637</v>
      </c>
      <c r="H18" s="172">
        <f t="shared" si="2"/>
        <v>54</v>
      </c>
      <c r="I18" s="72">
        <f t="shared" si="4"/>
        <v>10519</v>
      </c>
      <c r="J18" s="72">
        <f t="shared" si="5"/>
        <v>37971.04644622637</v>
      </c>
      <c r="K18" t="s">
        <v>259</v>
      </c>
    </row>
    <row r="19" spans="1:11" ht="16.350000000000001" customHeight="1">
      <c r="A19" s="150">
        <v>10</v>
      </c>
      <c r="B19" s="56"/>
      <c r="C19" s="203" t="s">
        <v>116</v>
      </c>
      <c r="D19" s="197">
        <f>'MORE Approved Formula w''19 Data'!H28</f>
        <v>0.18453088809309179</v>
      </c>
      <c r="E19" s="72">
        <f t="shared" si="0"/>
        <v>168563.98393906082</v>
      </c>
      <c r="F19" s="69">
        <f t="shared" si="3"/>
        <v>1000</v>
      </c>
      <c r="G19" s="204">
        <f t="shared" si="1"/>
        <v>167563.98393906082</v>
      </c>
      <c r="H19" s="172">
        <f t="shared" si="2"/>
        <v>185</v>
      </c>
      <c r="I19" s="72">
        <f t="shared" si="4"/>
        <v>35829</v>
      </c>
      <c r="J19" s="72">
        <f t="shared" si="5"/>
        <v>131734.98393906082</v>
      </c>
      <c r="K19" t="s">
        <v>259</v>
      </c>
    </row>
    <row r="20" spans="1:11" ht="16.350000000000001" customHeight="1">
      <c r="A20" s="150">
        <v>11</v>
      </c>
      <c r="B20" s="56"/>
      <c r="C20" s="203" t="s">
        <v>117</v>
      </c>
      <c r="D20" s="197">
        <f>'MORE Approved Formula w''19 Data'!H37</f>
        <v>7.8264622771936684E-3</v>
      </c>
      <c r="E20" s="72">
        <f t="shared" si="0"/>
        <v>7149.2619757349321</v>
      </c>
      <c r="F20" s="69">
        <f t="shared" si="3"/>
        <v>1000</v>
      </c>
      <c r="G20" s="204">
        <f t="shared" si="1"/>
        <v>6149.2619757349321</v>
      </c>
      <c r="H20" s="172">
        <f t="shared" si="2"/>
        <v>8</v>
      </c>
      <c r="I20" s="72">
        <f t="shared" si="4"/>
        <v>1520</v>
      </c>
      <c r="J20" s="72">
        <f t="shared" si="5"/>
        <v>4629.2619757349321</v>
      </c>
    </row>
    <row r="21" spans="1:11" ht="16.350000000000001" customHeight="1">
      <c r="A21" s="150">
        <v>12</v>
      </c>
      <c r="B21" s="56"/>
      <c r="C21" s="203" t="s">
        <v>118</v>
      </c>
      <c r="D21" s="197">
        <f>'MORE Approved Formula w''19 Data'!H39</f>
        <v>7.2918095092509537E-3</v>
      </c>
      <c r="E21" s="72">
        <f t="shared" si="0"/>
        <v>6660.8711078439965</v>
      </c>
      <c r="F21" s="69">
        <f t="shared" si="3"/>
        <v>1000</v>
      </c>
      <c r="G21" s="204">
        <f t="shared" si="1"/>
        <v>5660.8711078439965</v>
      </c>
      <c r="H21" s="172">
        <f t="shared" si="2"/>
        <v>7</v>
      </c>
      <c r="I21" s="72">
        <f t="shared" si="4"/>
        <v>1416</v>
      </c>
      <c r="J21" s="72">
        <f t="shared" si="5"/>
        <v>4244.8711078439965</v>
      </c>
    </row>
    <row r="22" spans="1:11" ht="16.350000000000001" customHeight="1">
      <c r="A22" s="150">
        <v>13</v>
      </c>
      <c r="B22" s="56"/>
      <c r="C22" s="203" t="s">
        <v>119</v>
      </c>
      <c r="D22" s="197">
        <f>'MORE Approved Formula w''19 Data'!H40</f>
        <v>4.8922601612126089E-2</v>
      </c>
      <c r="E22" s="72">
        <f t="shared" si="0"/>
        <v>44689.475662433651</v>
      </c>
      <c r="F22" s="69">
        <f t="shared" si="3"/>
        <v>1000</v>
      </c>
      <c r="G22" s="204">
        <f t="shared" si="1"/>
        <v>43689.475662433651</v>
      </c>
      <c r="H22" s="172">
        <f t="shared" si="2"/>
        <v>49</v>
      </c>
      <c r="I22" s="72">
        <f t="shared" si="4"/>
        <v>9499</v>
      </c>
      <c r="J22" s="72">
        <f t="shared" si="5"/>
        <v>34190.475662433651</v>
      </c>
      <c r="K22" t="s">
        <v>259</v>
      </c>
    </row>
    <row r="23" spans="1:11" ht="16.350000000000001" customHeight="1">
      <c r="A23" s="150">
        <v>14</v>
      </c>
      <c r="B23" s="56"/>
      <c r="C23" s="203" t="s">
        <v>120</v>
      </c>
      <c r="D23" s="197">
        <f>'MORE Approved Formula w''19 Data'!H42</f>
        <v>1.8376206715418605E-2</v>
      </c>
      <c r="E23" s="72">
        <f t="shared" si="0"/>
        <v>16786.168676953581</v>
      </c>
      <c r="F23" s="69">
        <f t="shared" si="3"/>
        <v>1000</v>
      </c>
      <c r="G23" s="204">
        <f t="shared" si="1"/>
        <v>15786.168676953581</v>
      </c>
      <c r="H23" s="172">
        <f t="shared" si="2"/>
        <v>18</v>
      </c>
      <c r="I23" s="72">
        <f t="shared" si="4"/>
        <v>3568</v>
      </c>
      <c r="J23" s="72">
        <f t="shared" si="5"/>
        <v>12218.168676953581</v>
      </c>
    </row>
    <row r="24" spans="1:11" ht="16.350000000000001" customHeight="1">
      <c r="A24" s="150">
        <v>15</v>
      </c>
      <c r="B24" s="56"/>
      <c r="C24" s="203" t="s">
        <v>121</v>
      </c>
      <c r="D24" s="197">
        <f>'MORE Approved Formula w''19 Data'!H43</f>
        <v>1.7900002322948257E-2</v>
      </c>
      <c r="E24" s="72">
        <f t="shared" si="0"/>
        <v>16351.168821950512</v>
      </c>
      <c r="F24" s="69">
        <f t="shared" si="3"/>
        <v>1000</v>
      </c>
      <c r="G24" s="204">
        <f t="shared" si="1"/>
        <v>15351.168821950512</v>
      </c>
      <c r="H24" s="172">
        <f t="shared" si="2"/>
        <v>18</v>
      </c>
      <c r="I24" s="72">
        <f t="shared" si="4"/>
        <v>3476</v>
      </c>
      <c r="J24" s="72">
        <f t="shared" si="5"/>
        <v>11875.168821950512</v>
      </c>
    </row>
    <row r="25" spans="1:11" ht="16.350000000000001" customHeight="1">
      <c r="A25" s="150">
        <v>16</v>
      </c>
      <c r="B25" s="56"/>
      <c r="C25" s="203" t="s">
        <v>122</v>
      </c>
      <c r="D25" s="197"/>
      <c r="E25" s="72">
        <f t="shared" si="0"/>
        <v>0</v>
      </c>
      <c r="F25" s="69">
        <v>0</v>
      </c>
      <c r="G25" s="204">
        <f t="shared" si="1"/>
        <v>0</v>
      </c>
      <c r="H25" s="172">
        <f t="shared" si="2"/>
        <v>0</v>
      </c>
      <c r="I25" s="72">
        <f t="shared" si="4"/>
        <v>0</v>
      </c>
      <c r="J25" s="72">
        <f t="shared" si="5"/>
        <v>0</v>
      </c>
    </row>
    <row r="26" spans="1:11" ht="16.350000000000001" customHeight="1">
      <c r="A26" s="150">
        <v>17</v>
      </c>
      <c r="B26" s="56"/>
      <c r="C26" s="203" t="s">
        <v>123</v>
      </c>
      <c r="D26" s="197">
        <f>'MORE Approved Formula w''19 Data'!H47</f>
        <v>1.5518418356986191E-2</v>
      </c>
      <c r="E26" s="72">
        <f t="shared" si="0"/>
        <v>14175.656171811248</v>
      </c>
      <c r="F26" s="69">
        <f t="shared" si="3"/>
        <v>1000</v>
      </c>
      <c r="G26" s="204">
        <f t="shared" si="1"/>
        <v>13175.656171811248</v>
      </c>
      <c r="H26" s="172">
        <f t="shared" si="2"/>
        <v>16</v>
      </c>
      <c r="I26" s="72">
        <f t="shared" si="4"/>
        <v>3013</v>
      </c>
      <c r="J26" s="72">
        <f t="shared" si="5"/>
        <v>10162.656171811248</v>
      </c>
      <c r="K26" t="s">
        <v>259</v>
      </c>
    </row>
    <row r="27" spans="1:11" ht="16.350000000000001" customHeight="1">
      <c r="A27" s="150">
        <v>18</v>
      </c>
      <c r="B27" s="56"/>
      <c r="C27" s="203" t="s">
        <v>124</v>
      </c>
      <c r="D27" s="197">
        <f>'MORE Approved Formula w''19 Data'!H49</f>
        <v>6.8878413141592681E-2</v>
      </c>
      <c r="E27" s="72">
        <f t="shared" si="0"/>
        <v>62918.570687690095</v>
      </c>
      <c r="F27" s="69">
        <f t="shared" si="3"/>
        <v>1000</v>
      </c>
      <c r="G27" s="204">
        <f t="shared" si="1"/>
        <v>61918.570687690095</v>
      </c>
      <c r="H27" s="172">
        <f t="shared" si="2"/>
        <v>69</v>
      </c>
      <c r="I27" s="72">
        <f t="shared" si="4"/>
        <v>13374</v>
      </c>
      <c r="J27" s="72">
        <f t="shared" si="5"/>
        <v>48544.570687690095</v>
      </c>
      <c r="K27" t="s">
        <v>259</v>
      </c>
    </row>
    <row r="28" spans="1:11" ht="16.350000000000001" customHeight="1">
      <c r="A28" s="150">
        <v>19</v>
      </c>
      <c r="B28" s="56"/>
      <c r="C28" s="203" t="s">
        <v>125</v>
      </c>
      <c r="D28" s="197">
        <f>'MORE Approved Formula w''19 Data'!H52</f>
        <v>1.2845903855419701E-2</v>
      </c>
      <c r="E28" s="72">
        <f t="shared" si="0"/>
        <v>11734.386332521801</v>
      </c>
      <c r="F28" s="69">
        <f t="shared" si="3"/>
        <v>1000</v>
      </c>
      <c r="G28" s="204">
        <f t="shared" si="1"/>
        <v>10734.386332521801</v>
      </c>
      <c r="H28" s="172">
        <f t="shared" si="2"/>
        <v>13</v>
      </c>
      <c r="I28" s="72">
        <f t="shared" si="4"/>
        <v>2494</v>
      </c>
      <c r="J28" s="72">
        <f t="shared" si="5"/>
        <v>8240.3863325218008</v>
      </c>
      <c r="K28" s="245" t="s">
        <v>259</v>
      </c>
    </row>
    <row r="29" spans="1:11" ht="16.350000000000001" customHeight="1">
      <c r="A29" s="150">
        <v>20</v>
      </c>
      <c r="B29" s="56"/>
      <c r="C29" s="203" t="s">
        <v>126</v>
      </c>
      <c r="D29" s="197">
        <f>'MORE Approved Formula w''19 Data'!H57</f>
        <v>7.8982114047767317E-3</v>
      </c>
      <c r="E29" s="72">
        <f t="shared" si="0"/>
        <v>7214.8028665556158</v>
      </c>
      <c r="F29" s="69">
        <f t="shared" si="3"/>
        <v>1000</v>
      </c>
      <c r="G29" s="204">
        <f t="shared" si="1"/>
        <v>6214.8028665556158</v>
      </c>
      <c r="H29" s="172">
        <f t="shared" si="2"/>
        <v>8</v>
      </c>
      <c r="I29" s="72">
        <f t="shared" si="4"/>
        <v>1534</v>
      </c>
      <c r="J29" s="72">
        <f t="shared" si="5"/>
        <v>4680.8028665556158</v>
      </c>
    </row>
    <row r="30" spans="1:11" ht="16.350000000000001" customHeight="1">
      <c r="A30" s="150">
        <v>21</v>
      </c>
      <c r="B30" s="56"/>
      <c r="C30" s="203" t="s">
        <v>127</v>
      </c>
      <c r="D30" s="197">
        <f>'MORE Approved Formula w''19 Data'!H16</f>
        <v>7.4491705201380877E-3</v>
      </c>
      <c r="E30" s="72">
        <f t="shared" si="0"/>
        <v>6804.6161425420996</v>
      </c>
      <c r="F30" s="69">
        <f t="shared" si="3"/>
        <v>1000</v>
      </c>
      <c r="G30" s="204">
        <f t="shared" si="1"/>
        <v>5804.6161425420996</v>
      </c>
      <c r="H30" s="172">
        <f t="shared" si="2"/>
        <v>7</v>
      </c>
      <c r="I30" s="72">
        <f t="shared" si="4"/>
        <v>1446</v>
      </c>
      <c r="J30" s="72">
        <f t="shared" si="5"/>
        <v>4358.6161425420996</v>
      </c>
    </row>
    <row r="31" spans="1:11" ht="16.350000000000001" customHeight="1">
      <c r="A31" s="150">
        <v>22</v>
      </c>
      <c r="B31" s="56"/>
      <c r="C31" s="203" t="s">
        <v>128</v>
      </c>
      <c r="D31" s="197">
        <f>'MORE Approved Formula w''19 Data'!H24</f>
        <v>8.1192661581657999E-3</v>
      </c>
      <c r="E31" s="72">
        <f t="shared" si="0"/>
        <v>7416.7304152981878</v>
      </c>
      <c r="F31" s="69">
        <f t="shared" si="3"/>
        <v>1000</v>
      </c>
      <c r="G31" s="204">
        <f t="shared" si="1"/>
        <v>6416.7304152981878</v>
      </c>
      <c r="H31" s="172">
        <f t="shared" si="2"/>
        <v>8</v>
      </c>
      <c r="I31" s="72">
        <f t="shared" si="4"/>
        <v>1576</v>
      </c>
      <c r="J31" s="72">
        <f t="shared" si="5"/>
        <v>4840.7304152981878</v>
      </c>
    </row>
    <row r="32" spans="1:11" ht="16.350000000000001" customHeight="1">
      <c r="A32" s="150">
        <v>23</v>
      </c>
      <c r="B32" s="56"/>
      <c r="C32" s="203" t="s">
        <v>129</v>
      </c>
      <c r="D32" s="197">
        <f>'MORE Approved Formula w''19 Data'!H23</f>
        <v>9.1308726567259461E-3</v>
      </c>
      <c r="E32" s="72">
        <f t="shared" si="0"/>
        <v>8340.8056383574203</v>
      </c>
      <c r="F32" s="69">
        <f t="shared" si="3"/>
        <v>1000</v>
      </c>
      <c r="G32" s="204">
        <f t="shared" si="1"/>
        <v>7340.8056383574203</v>
      </c>
      <c r="H32" s="172">
        <f t="shared" si="2"/>
        <v>9</v>
      </c>
      <c r="I32" s="72">
        <f t="shared" si="4"/>
        <v>1773</v>
      </c>
      <c r="J32" s="72">
        <f t="shared" si="5"/>
        <v>5567.8056383574203</v>
      </c>
    </row>
    <row r="33" spans="1:11" ht="16.350000000000001" customHeight="1">
      <c r="A33" s="150">
        <v>24</v>
      </c>
      <c r="B33" s="56"/>
      <c r="C33" s="203" t="s">
        <v>130</v>
      </c>
      <c r="D33" s="197">
        <f>'MORE Approved Formula w''19 Data'!H20</f>
        <v>4.1942329437524304E-3</v>
      </c>
      <c r="E33" s="72">
        <f t="shared" si="0"/>
        <v>3831.3185498283638</v>
      </c>
      <c r="F33" s="69">
        <f t="shared" si="3"/>
        <v>1000</v>
      </c>
      <c r="G33" s="204">
        <f t="shared" si="1"/>
        <v>2831.3185498283638</v>
      </c>
      <c r="H33" s="172">
        <f t="shared" si="2"/>
        <v>4</v>
      </c>
      <c r="I33" s="72">
        <f t="shared" si="4"/>
        <v>814</v>
      </c>
      <c r="J33" s="72">
        <f t="shared" si="5"/>
        <v>2017.3185498283638</v>
      </c>
    </row>
    <row r="34" spans="1:11" ht="16.350000000000001" customHeight="1">
      <c r="A34" s="150">
        <v>25</v>
      </c>
      <c r="B34" s="56"/>
      <c r="C34" s="203" t="s">
        <v>131</v>
      </c>
      <c r="D34" s="197">
        <f>'MORE Approved Formula w''19 Data'!H32</f>
        <v>1.0979677200113001E-2</v>
      </c>
      <c r="E34" s="72">
        <f t="shared" si="0"/>
        <v>10029.638671018824</v>
      </c>
      <c r="F34" s="69">
        <f t="shared" si="3"/>
        <v>1000</v>
      </c>
      <c r="G34" s="204">
        <f t="shared" si="1"/>
        <v>9029.6386710188235</v>
      </c>
      <c r="H34" s="172">
        <f t="shared" si="2"/>
        <v>11</v>
      </c>
      <c r="I34" s="72">
        <f t="shared" si="4"/>
        <v>2132</v>
      </c>
      <c r="J34" s="72">
        <f t="shared" si="5"/>
        <v>6897.6386710188235</v>
      </c>
      <c r="K34" t="s">
        <v>259</v>
      </c>
    </row>
    <row r="35" spans="1:11" ht="16.350000000000001" customHeight="1">
      <c r="A35" s="150">
        <v>26</v>
      </c>
      <c r="B35" s="56"/>
      <c r="C35" s="203" t="s">
        <v>132</v>
      </c>
      <c r="D35" s="197">
        <f>'MORE Approved Formula w''19 Data'!H38</f>
        <v>6.073085946837456E-2</v>
      </c>
      <c r="E35" s="72">
        <f t="shared" si="0"/>
        <v>55476.000391154514</v>
      </c>
      <c r="F35" s="69">
        <f t="shared" si="3"/>
        <v>1000</v>
      </c>
      <c r="G35" s="204">
        <f t="shared" si="1"/>
        <v>54476.000391154514</v>
      </c>
      <c r="H35" s="172">
        <f t="shared" si="2"/>
        <v>61</v>
      </c>
      <c r="I35" s="72">
        <f t="shared" si="4"/>
        <v>11792</v>
      </c>
      <c r="J35" s="72">
        <f t="shared" si="5"/>
        <v>42684.000391154514</v>
      </c>
      <c r="K35" t="s">
        <v>259</v>
      </c>
    </row>
    <row r="36" spans="1:11" ht="16.350000000000001" customHeight="1">
      <c r="A36" s="150">
        <v>27</v>
      </c>
      <c r="B36" s="56"/>
      <c r="C36" s="203" t="s">
        <v>133</v>
      </c>
      <c r="D36" s="197">
        <f>'MORE Approved Formula w''19 Data'!H44</f>
        <v>5.7547296350498418E-3</v>
      </c>
      <c r="E36" s="72">
        <f t="shared" si="0"/>
        <v>5256.7901439178841</v>
      </c>
      <c r="F36" s="69">
        <f t="shared" si="3"/>
        <v>1000</v>
      </c>
      <c r="G36" s="204">
        <f t="shared" si="1"/>
        <v>4256.7901439178841</v>
      </c>
      <c r="H36" s="172">
        <f t="shared" si="2"/>
        <v>6</v>
      </c>
      <c r="I36" s="72">
        <f t="shared" si="4"/>
        <v>1117</v>
      </c>
      <c r="J36" s="72">
        <f t="shared" si="5"/>
        <v>3139.7901439178841</v>
      </c>
      <c r="K36" t="s">
        <v>259</v>
      </c>
    </row>
    <row r="37" spans="1:11" ht="16.350000000000001" customHeight="1">
      <c r="A37" s="150">
        <v>28</v>
      </c>
      <c r="B37" s="56"/>
      <c r="C37" s="203" t="s">
        <v>134</v>
      </c>
      <c r="D37" s="197">
        <f>'MORE Approved Formula w''19 Data'!H54</f>
        <v>1.4782942965625611E-2</v>
      </c>
      <c r="E37" s="72">
        <f t="shared" si="0"/>
        <v>13503.819259638924</v>
      </c>
      <c r="F37" s="69">
        <f t="shared" si="3"/>
        <v>1000</v>
      </c>
      <c r="G37" s="204">
        <f t="shared" si="1"/>
        <v>12503.819259638924</v>
      </c>
      <c r="H37" s="172">
        <f t="shared" si="2"/>
        <v>15</v>
      </c>
      <c r="I37" s="72">
        <f t="shared" si="4"/>
        <v>2870</v>
      </c>
      <c r="J37" s="72">
        <f t="shared" si="5"/>
        <v>9633.8192596389235</v>
      </c>
      <c r="K37" t="s">
        <v>259</v>
      </c>
    </row>
    <row r="38" spans="1:11" ht="16.350000000000001" customHeight="1">
      <c r="A38" s="150">
        <v>29</v>
      </c>
      <c r="B38" s="56"/>
      <c r="C38" s="203" t="s">
        <v>135</v>
      </c>
      <c r="D38" s="197">
        <f>'MORE Approved Formula w''19 Data'!H22</f>
        <v>6.4612805739330731E-2</v>
      </c>
      <c r="E38" s="72">
        <f t="shared" si="0"/>
        <v>59022.053497123663</v>
      </c>
      <c r="F38" s="69">
        <f t="shared" si="3"/>
        <v>1000</v>
      </c>
      <c r="G38" s="204">
        <f t="shared" si="1"/>
        <v>58022.053497123663</v>
      </c>
      <c r="H38" s="172">
        <f t="shared" si="2"/>
        <v>65</v>
      </c>
      <c r="I38" s="72">
        <f t="shared" si="4"/>
        <v>12546</v>
      </c>
      <c r="J38" s="72">
        <f t="shared" si="5"/>
        <v>45476.053497123663</v>
      </c>
      <c r="K38" t="s">
        <v>259</v>
      </c>
    </row>
    <row r="39" spans="1:11" ht="16.350000000000001" customHeight="1">
      <c r="A39" s="150">
        <v>30</v>
      </c>
      <c r="B39" s="56"/>
      <c r="C39" s="203" t="s">
        <v>136</v>
      </c>
      <c r="D39" s="197">
        <f>'MORE Approved Formula w''19 Data'!H50</f>
        <v>1.9269979790350174E-2</v>
      </c>
      <c r="E39" s="72">
        <f t="shared" si="0"/>
        <v>17602.606249030545</v>
      </c>
      <c r="F39" s="69">
        <f t="shared" si="3"/>
        <v>1000</v>
      </c>
      <c r="G39" s="204">
        <f t="shared" si="1"/>
        <v>16602.606249030545</v>
      </c>
      <c r="H39" s="172">
        <f t="shared" si="2"/>
        <v>19</v>
      </c>
      <c r="I39" s="72">
        <f t="shared" si="4"/>
        <v>3742</v>
      </c>
      <c r="J39" s="72">
        <f t="shared" si="5"/>
        <v>12860.606249030545</v>
      </c>
      <c r="K39" t="s">
        <v>259</v>
      </c>
    </row>
    <row r="40" spans="1:11" ht="16.350000000000001" customHeight="1">
      <c r="A40" s="150">
        <v>31</v>
      </c>
      <c r="B40" s="56"/>
      <c r="C40" s="203" t="s">
        <v>137</v>
      </c>
      <c r="D40" s="197">
        <f>'MORE Approved Formula w''19 Data'!H31</f>
        <v>8.5160407070455028E-3</v>
      </c>
      <c r="E40" s="72">
        <f t="shared" si="0"/>
        <v>7779.1732527869763</v>
      </c>
      <c r="F40" s="69">
        <f t="shared" si="3"/>
        <v>1000</v>
      </c>
      <c r="G40" s="204">
        <f t="shared" si="1"/>
        <v>6779.1732527869763</v>
      </c>
      <c r="H40" s="172">
        <f t="shared" si="2"/>
        <v>9</v>
      </c>
      <c r="I40" s="72">
        <f t="shared" si="4"/>
        <v>1654</v>
      </c>
      <c r="J40" s="72">
        <f t="shared" si="5"/>
        <v>5125.1732527869763</v>
      </c>
    </row>
    <row r="41" spans="1:11" ht="16.350000000000001" customHeight="1">
      <c r="A41" s="150">
        <v>32</v>
      </c>
      <c r="B41" s="56"/>
      <c r="C41" s="203" t="s">
        <v>138</v>
      </c>
      <c r="D41" s="197">
        <f>'MORE Approved Formula w''19 Data'!H53</f>
        <v>8.2996693170756929E-3</v>
      </c>
      <c r="E41" s="72">
        <f t="shared" si="0"/>
        <v>7581.5238300770843</v>
      </c>
      <c r="F41" s="69">
        <f t="shared" si="3"/>
        <v>1000</v>
      </c>
      <c r="G41" s="204">
        <f t="shared" si="1"/>
        <v>6581.5238300770843</v>
      </c>
      <c r="H41" s="172">
        <f t="shared" si="2"/>
        <v>8</v>
      </c>
      <c r="I41" s="72">
        <f t="shared" si="4"/>
        <v>1612</v>
      </c>
      <c r="J41" s="72">
        <f t="shared" si="5"/>
        <v>4969.5238300770843</v>
      </c>
      <c r="K41" t="s">
        <v>259</v>
      </c>
    </row>
    <row r="42" spans="1:11" ht="16.350000000000001" customHeight="1">
      <c r="A42" s="150">
        <v>33</v>
      </c>
      <c r="B42" s="56"/>
      <c r="C42" s="203" t="s">
        <v>139</v>
      </c>
      <c r="D42" s="197">
        <f>'MORE Approved Formula w''19 Data'!H30</f>
        <v>4.0155157956734714E-3</v>
      </c>
      <c r="E42" s="72">
        <f t="shared" si="0"/>
        <v>3668.0652604212328</v>
      </c>
      <c r="F42" s="69">
        <f t="shared" si="3"/>
        <v>1000</v>
      </c>
      <c r="G42" s="204">
        <f t="shared" si="1"/>
        <v>2668.0652604212328</v>
      </c>
      <c r="H42" s="172">
        <f t="shared" si="2"/>
        <v>4</v>
      </c>
      <c r="I42" s="72">
        <f t="shared" si="4"/>
        <v>780</v>
      </c>
      <c r="J42" s="72">
        <f t="shared" si="5"/>
        <v>1888.0652604212328</v>
      </c>
    </row>
    <row r="43" spans="1:11" ht="16.350000000000001" customHeight="1">
      <c r="A43" s="150">
        <v>34</v>
      </c>
      <c r="B43" s="56"/>
      <c r="C43" s="203" t="s">
        <v>140</v>
      </c>
      <c r="D43" s="197">
        <f>'MORE Approved Formula w''19 Data'!H34</f>
        <v>1.4601228464958326E-2</v>
      </c>
      <c r="E43" s="72">
        <f t="shared" si="0"/>
        <v>13337.827969570877</v>
      </c>
      <c r="F43" s="69">
        <f t="shared" si="3"/>
        <v>1000</v>
      </c>
      <c r="G43" s="204">
        <f t="shared" si="1"/>
        <v>12337.827969570877</v>
      </c>
      <c r="H43" s="172">
        <f t="shared" si="2"/>
        <v>15</v>
      </c>
      <c r="I43" s="72">
        <f t="shared" si="4"/>
        <v>2835</v>
      </c>
      <c r="J43" s="72">
        <f t="shared" si="5"/>
        <v>9502.827969570877</v>
      </c>
    </row>
    <row r="44" spans="1:11" ht="16.350000000000001" customHeight="1">
      <c r="A44" s="150">
        <v>35</v>
      </c>
      <c r="B44" s="56"/>
      <c r="C44" s="203" t="s">
        <v>141</v>
      </c>
      <c r="D44" s="197">
        <f>'MORE Approved Formula w''19 Data'!H48</f>
        <v>3.0200388007292561E-2</v>
      </c>
      <c r="E44" s="72">
        <f t="shared" si="0"/>
        <v>27587.239034185557</v>
      </c>
      <c r="F44" s="69">
        <f t="shared" si="3"/>
        <v>1000</v>
      </c>
      <c r="G44" s="204">
        <f t="shared" si="1"/>
        <v>26587.239034185557</v>
      </c>
      <c r="H44" s="172">
        <f t="shared" si="2"/>
        <v>30</v>
      </c>
      <c r="I44" s="72">
        <f t="shared" si="4"/>
        <v>5864</v>
      </c>
      <c r="J44" s="72">
        <f t="shared" si="5"/>
        <v>20723.239034185557</v>
      </c>
      <c r="K44" t="s">
        <v>259</v>
      </c>
    </row>
    <row r="45" spans="1:11" ht="17.100000000000001" customHeight="1">
      <c r="A45" s="151">
        <v>36</v>
      </c>
      <c r="B45" s="58"/>
      <c r="C45" s="169" t="s">
        <v>142</v>
      </c>
      <c r="D45" s="197">
        <f>'MORE Approved Formula w''19 Data'!H21</f>
        <v>9.7608787038847931E-3</v>
      </c>
      <c r="E45" s="72">
        <f t="shared" si="0"/>
        <v>8916.2991522737539</v>
      </c>
      <c r="F45" s="205">
        <f t="shared" si="3"/>
        <v>1000</v>
      </c>
      <c r="G45" s="204">
        <f t="shared" si="1"/>
        <v>7916.2991522737539</v>
      </c>
      <c r="H45" s="172">
        <f t="shared" si="2"/>
        <v>10</v>
      </c>
      <c r="I45" s="72">
        <f t="shared" si="4"/>
        <v>1895</v>
      </c>
      <c r="J45" s="72">
        <f t="shared" si="5"/>
        <v>6021.2991522737539</v>
      </c>
    </row>
    <row r="46" spans="1:11" ht="17.100000000000001" customHeight="1">
      <c r="A46" s="151">
        <v>37</v>
      </c>
      <c r="B46" s="58"/>
      <c r="C46" s="169" t="s">
        <v>143</v>
      </c>
      <c r="D46" s="197">
        <f>'MORE Approved Formula w''19 Data'!H11</f>
        <v>7.6370670605187966E-3</v>
      </c>
      <c r="E46" s="72">
        <f t="shared" si="0"/>
        <v>6976.2545589732863</v>
      </c>
      <c r="F46" s="205">
        <f t="shared" si="3"/>
        <v>1000</v>
      </c>
      <c r="G46" s="204">
        <f t="shared" si="1"/>
        <v>5976.2545589732863</v>
      </c>
      <c r="H46" s="172">
        <f t="shared" si="2"/>
        <v>8</v>
      </c>
      <c r="I46" s="72">
        <f t="shared" si="4"/>
        <v>1483</v>
      </c>
      <c r="J46" s="72">
        <f t="shared" si="5"/>
        <v>4493.2545589732863</v>
      </c>
    </row>
    <row r="47" spans="1:11" ht="17.100000000000001" customHeight="1">
      <c r="A47" s="151">
        <v>38</v>
      </c>
      <c r="B47" s="58"/>
      <c r="C47" s="169" t="s">
        <v>144</v>
      </c>
      <c r="D47" s="197">
        <f>'MORE Approved Formula w''19 Data'!H18</f>
        <v>8.2537723555669452E-3</v>
      </c>
      <c r="E47" s="72">
        <f t="shared" si="0"/>
        <v>7539.598194956804</v>
      </c>
      <c r="F47" s="205">
        <f t="shared" si="3"/>
        <v>1000</v>
      </c>
      <c r="G47" s="204">
        <f t="shared" si="1"/>
        <v>6539.598194956804</v>
      </c>
      <c r="H47" s="172">
        <f t="shared" si="2"/>
        <v>8</v>
      </c>
      <c r="I47" s="72">
        <f t="shared" si="4"/>
        <v>1603</v>
      </c>
      <c r="J47" s="72">
        <f t="shared" si="5"/>
        <v>4936.598194956804</v>
      </c>
    </row>
    <row r="48" spans="1:11" ht="17.100000000000001" customHeight="1">
      <c r="A48" s="151">
        <v>39</v>
      </c>
      <c r="B48" s="58"/>
      <c r="C48" s="169" t="s">
        <v>145</v>
      </c>
      <c r="D48" s="197">
        <f>'MORE Approved Formula w''19 Data'!H46</f>
        <v>7.4190096597180543E-3</v>
      </c>
      <c r="E48" s="72">
        <f t="shared" si="0"/>
        <v>6777.0650108916307</v>
      </c>
      <c r="F48" s="205">
        <f t="shared" si="3"/>
        <v>1000</v>
      </c>
      <c r="G48" s="204">
        <f t="shared" si="1"/>
        <v>5777.0650108916307</v>
      </c>
      <c r="H48" s="172">
        <f t="shared" si="2"/>
        <v>7</v>
      </c>
      <c r="I48" s="72">
        <f t="shared" si="4"/>
        <v>1441</v>
      </c>
      <c r="J48" s="72">
        <f t="shared" si="5"/>
        <v>4336.0650108916307</v>
      </c>
    </row>
    <row r="49" spans="1:11" ht="17.100000000000001" customHeight="1">
      <c r="A49" s="151">
        <v>40</v>
      </c>
      <c r="B49" s="58"/>
      <c r="C49" s="169" t="s">
        <v>146</v>
      </c>
      <c r="D49" s="197">
        <f>'MORE Approved Formula w''19 Data'!H45</f>
        <v>1.489590569129816E-2</v>
      </c>
      <c r="E49" s="72">
        <f t="shared" si="0"/>
        <v>13607.007659547204</v>
      </c>
      <c r="F49" s="205">
        <f t="shared" si="3"/>
        <v>1000</v>
      </c>
      <c r="G49" s="204">
        <f t="shared" si="1"/>
        <v>12607.007659547204</v>
      </c>
      <c r="H49" s="172">
        <f t="shared" si="2"/>
        <v>15</v>
      </c>
      <c r="I49" s="72">
        <f t="shared" si="4"/>
        <v>2892</v>
      </c>
      <c r="J49" s="72">
        <f t="shared" si="5"/>
        <v>9715.0076595472037</v>
      </c>
    </row>
    <row r="50" spans="1:11" ht="17.100000000000001" customHeight="1">
      <c r="A50" s="151">
        <v>41</v>
      </c>
      <c r="B50" s="58"/>
      <c r="C50" s="169" t="s">
        <v>147</v>
      </c>
      <c r="D50" s="197">
        <f>'MORE Approved Formula w''19 Data'!H55</f>
        <v>9.6775148350219664E-3</v>
      </c>
      <c r="E50" s="72">
        <f t="shared" si="0"/>
        <v>8840.1485088920199</v>
      </c>
      <c r="F50" s="205">
        <f t="shared" si="3"/>
        <v>1000</v>
      </c>
      <c r="G50" s="204">
        <f t="shared" si="1"/>
        <v>7840.1485088920199</v>
      </c>
      <c r="H50" s="172">
        <f t="shared" si="2"/>
        <v>10</v>
      </c>
      <c r="I50" s="72">
        <f t="shared" si="4"/>
        <v>1879</v>
      </c>
      <c r="J50" s="72">
        <f t="shared" si="5"/>
        <v>5961.1485088920199</v>
      </c>
      <c r="K50" t="s">
        <v>259</v>
      </c>
    </row>
    <row r="51" spans="1:11" ht="17.100000000000001" customHeight="1">
      <c r="A51" s="151">
        <v>42</v>
      </c>
      <c r="B51" s="58"/>
      <c r="C51" s="169" t="s">
        <v>148</v>
      </c>
      <c r="D51" s="197">
        <f>'MORE Approved Formula w''19 Data'!H14</f>
        <v>1.8952822419597889E-2</v>
      </c>
      <c r="E51" s="72">
        <f t="shared" si="0"/>
        <v>17312.891554097343</v>
      </c>
      <c r="F51" s="205">
        <f t="shared" si="3"/>
        <v>1000</v>
      </c>
      <c r="G51" s="204">
        <f t="shared" si="1"/>
        <v>16312.891554097343</v>
      </c>
      <c r="H51" s="172">
        <f t="shared" si="2"/>
        <v>19</v>
      </c>
      <c r="I51" s="72">
        <f t="shared" si="4"/>
        <v>3680</v>
      </c>
      <c r="J51" s="72">
        <f t="shared" si="5"/>
        <v>12632.891554097343</v>
      </c>
      <c r="K51" t="s">
        <v>259</v>
      </c>
    </row>
    <row r="52" spans="1:11" ht="17.100000000000001" customHeight="1">
      <c r="A52" s="151">
        <v>43</v>
      </c>
      <c r="B52" s="58"/>
      <c r="C52" s="169" t="s">
        <v>149</v>
      </c>
      <c r="D52" s="197">
        <f>'MORE Approved Formula w''19 Data'!H17</f>
        <v>5.9845891116671202E-3</v>
      </c>
      <c r="E52" s="72">
        <f t="shared" si="0"/>
        <v>5466.7605696018991</v>
      </c>
      <c r="F52" s="205">
        <f t="shared" si="3"/>
        <v>1000</v>
      </c>
      <c r="G52" s="204">
        <f t="shared" si="1"/>
        <v>4466.7605696018991</v>
      </c>
      <c r="H52" s="172">
        <f t="shared" si="2"/>
        <v>6</v>
      </c>
      <c r="I52" s="72">
        <f t="shared" si="4"/>
        <v>1162</v>
      </c>
      <c r="J52" s="72">
        <f t="shared" si="5"/>
        <v>3304.7605696018991</v>
      </c>
    </row>
    <row r="53" spans="1:11" ht="17.100000000000001" customHeight="1">
      <c r="A53" s="151">
        <v>44</v>
      </c>
      <c r="B53" s="58"/>
      <c r="C53" s="169" t="s">
        <v>150</v>
      </c>
      <c r="D53" s="197">
        <f>'MORE Approved Formula w''19 Data'!H19</f>
        <v>6.7517240397418979E-3</v>
      </c>
      <c r="E53" s="72">
        <f t="shared" si="0"/>
        <v>6167.5176137551507</v>
      </c>
      <c r="F53" s="205">
        <f t="shared" si="3"/>
        <v>1000</v>
      </c>
      <c r="G53" s="204">
        <f t="shared" si="1"/>
        <v>5167.5176137551507</v>
      </c>
      <c r="H53" s="172">
        <f t="shared" si="2"/>
        <v>7</v>
      </c>
      <c r="I53" s="72">
        <f t="shared" si="4"/>
        <v>1311</v>
      </c>
      <c r="J53" s="72">
        <f t="shared" si="5"/>
        <v>3856.5176137551507</v>
      </c>
    </row>
    <row r="54" spans="1:11" ht="17.100000000000001" customHeight="1">
      <c r="A54" s="151">
        <v>45</v>
      </c>
      <c r="B54" s="58"/>
      <c r="C54" s="169" t="s">
        <v>151</v>
      </c>
      <c r="D54" s="197">
        <f>'MORE Approved Formula w''19 Data'!H25</f>
        <v>1.816152133627973E-2</v>
      </c>
      <c r="E54" s="72">
        <f t="shared" si="0"/>
        <v>16590.059379615454</v>
      </c>
      <c r="F54" s="205">
        <f t="shared" si="3"/>
        <v>1000</v>
      </c>
      <c r="G54" s="204">
        <f t="shared" si="1"/>
        <v>15590.059379615454</v>
      </c>
      <c r="H54" s="172">
        <f t="shared" si="2"/>
        <v>18</v>
      </c>
      <c r="I54" s="72">
        <f t="shared" si="4"/>
        <v>3526</v>
      </c>
      <c r="J54" s="72">
        <f t="shared" si="5"/>
        <v>12064.059379615454</v>
      </c>
    </row>
    <row r="55" spans="1:11" ht="17.100000000000001" customHeight="1">
      <c r="A55" s="151">
        <v>46</v>
      </c>
      <c r="B55" s="58"/>
      <c r="C55" s="169" t="s">
        <v>152</v>
      </c>
      <c r="D55" s="197">
        <f>'MORE Approved Formula w''19 Data'!H36</f>
        <v>2.7286211953292255E-2</v>
      </c>
      <c r="E55" s="72">
        <f t="shared" si="0"/>
        <v>24925.217891609736</v>
      </c>
      <c r="F55" s="205">
        <f t="shared" si="3"/>
        <v>1000</v>
      </c>
      <c r="G55" s="204">
        <f t="shared" si="1"/>
        <v>23925.217891609736</v>
      </c>
      <c r="H55" s="172">
        <f t="shared" si="2"/>
        <v>27</v>
      </c>
      <c r="I55" s="72">
        <f t="shared" si="4"/>
        <v>5298</v>
      </c>
      <c r="J55" s="72">
        <f t="shared" si="5"/>
        <v>18627.217891609736</v>
      </c>
      <c r="K55" s="254" t="s">
        <v>259</v>
      </c>
    </row>
    <row r="56" spans="1:11" ht="17.100000000000001" customHeight="1">
      <c r="A56" s="151">
        <v>47</v>
      </c>
      <c r="B56" s="58"/>
      <c r="C56" s="169" t="s">
        <v>153</v>
      </c>
      <c r="D56" s="197">
        <f>'MORE Approved Formula w''19 Data'!H56</f>
        <v>6.6975843586152533E-3</v>
      </c>
      <c r="E56" s="72">
        <f t="shared" si="0"/>
        <v>6118.0624768173511</v>
      </c>
      <c r="F56" s="205">
        <f t="shared" si="3"/>
        <v>1000</v>
      </c>
      <c r="G56" s="204">
        <f t="shared" si="1"/>
        <v>5118.0624768173511</v>
      </c>
      <c r="H56" s="172">
        <f t="shared" si="2"/>
        <v>7</v>
      </c>
      <c r="I56" s="72">
        <f t="shared" si="4"/>
        <v>1300</v>
      </c>
      <c r="J56" s="72">
        <f t="shared" si="5"/>
        <v>3818.0624768173511</v>
      </c>
    </row>
    <row r="57" spans="1:11" ht="17.100000000000001" customHeight="1">
      <c r="A57" s="151">
        <v>48</v>
      </c>
      <c r="B57" s="58"/>
      <c r="C57" s="169" t="s">
        <v>154</v>
      </c>
      <c r="D57" s="197">
        <f>'MORE Approved Formula w''19 Data'!H51</f>
        <v>3.3043938940930423E-3</v>
      </c>
      <c r="E57" s="72">
        <f t="shared" si="0"/>
        <v>3018.4746036188535</v>
      </c>
      <c r="F57" s="205">
        <f t="shared" si="3"/>
        <v>1000</v>
      </c>
      <c r="G57" s="204">
        <f t="shared" si="1"/>
        <v>2018.4746036188535</v>
      </c>
      <c r="H57" s="172">
        <f>ROUND(D57*1000,0)</f>
        <v>3</v>
      </c>
      <c r="I57" s="72">
        <f t="shared" si="4"/>
        <v>642</v>
      </c>
      <c r="J57" s="72">
        <f t="shared" si="5"/>
        <v>1376.4746036188535</v>
      </c>
    </row>
    <row r="58" spans="1:11" ht="17.100000000000001" customHeight="1">
      <c r="A58" s="151">
        <v>49</v>
      </c>
      <c r="B58" s="58"/>
      <c r="C58" s="169" t="s">
        <v>155</v>
      </c>
      <c r="D58" s="197">
        <f>'MORE Approved Formula w''19 Data'!H15</f>
        <v>1.7631364597219507E-2</v>
      </c>
      <c r="E58" s="72">
        <f t="shared" si="0"/>
        <v>16105.775512715894</v>
      </c>
      <c r="F58" s="205">
        <f t="shared" si="3"/>
        <v>1000</v>
      </c>
      <c r="G58" s="204">
        <f t="shared" si="1"/>
        <v>15105.775512715894</v>
      </c>
      <c r="H58" s="172">
        <f>ROUND(D58*1000,0)</f>
        <v>18</v>
      </c>
      <c r="I58" s="72">
        <f t="shared" si="4"/>
        <v>3423</v>
      </c>
      <c r="J58" s="72">
        <f t="shared" si="5"/>
        <v>11682.775512715894</v>
      </c>
    </row>
    <row r="59" spans="1:11" ht="17.100000000000001" customHeight="1">
      <c r="A59" s="151">
        <v>50</v>
      </c>
      <c r="B59" s="58"/>
      <c r="C59" s="169" t="s">
        <v>156</v>
      </c>
      <c r="D59" s="197">
        <f>'MORE Approved Formula w''19 Data'!H10</f>
        <v>2.5712414509884145E-2</v>
      </c>
      <c r="E59" s="72">
        <f t="shared" si="0"/>
        <v>23487.5964195874</v>
      </c>
      <c r="F59" s="205">
        <f t="shared" si="3"/>
        <v>1000</v>
      </c>
      <c r="G59" s="204">
        <f t="shared" si="1"/>
        <v>22487.5964195874</v>
      </c>
      <c r="H59" s="172">
        <f>ROUND(D59*1000,0)</f>
        <v>26</v>
      </c>
      <c r="I59" s="72">
        <f t="shared" si="4"/>
        <v>4992</v>
      </c>
      <c r="J59" s="72">
        <f t="shared" si="5"/>
        <v>17495.5964195874</v>
      </c>
      <c r="K59" t="s">
        <v>259</v>
      </c>
    </row>
    <row r="60" spans="1:11" ht="17.100000000000001" customHeight="1">
      <c r="A60" s="151">
        <v>51</v>
      </c>
      <c r="B60" s="58"/>
      <c r="C60" s="169" t="s">
        <v>157</v>
      </c>
      <c r="D60" s="197">
        <f>'MORE Approved Formula w''19 Data'!H41</f>
        <v>5.4207121559882235E-3</v>
      </c>
      <c r="E60" s="72">
        <f t="shared" si="0"/>
        <v>4951.6741952670309</v>
      </c>
      <c r="F60" s="205">
        <f t="shared" si="3"/>
        <v>1000</v>
      </c>
      <c r="G60" s="204">
        <f t="shared" si="1"/>
        <v>3951.6741952670309</v>
      </c>
      <c r="H60" s="172"/>
      <c r="I60" s="72">
        <f t="shared" si="4"/>
        <v>1053</v>
      </c>
      <c r="J60" s="72">
        <f t="shared" si="5"/>
        <v>2898.6741952670309</v>
      </c>
    </row>
    <row r="61" spans="1:11" ht="17.100000000000001" customHeight="1">
      <c r="A61" s="150"/>
      <c r="B61" s="56"/>
      <c r="C61" s="56" t="s">
        <v>158</v>
      </c>
      <c r="D61" s="56"/>
      <c r="E61" s="73"/>
      <c r="F61" s="70"/>
      <c r="G61" s="204">
        <f>SUM(E10:E60)-SUM(G10:G60)</f>
        <v>49000.000000000116</v>
      </c>
      <c r="H61" s="173"/>
      <c r="I61" s="6"/>
      <c r="J61" s="6"/>
    </row>
    <row r="62" spans="1:11" ht="5.25" customHeight="1" thickBot="1">
      <c r="A62" s="151"/>
      <c r="B62" s="58"/>
      <c r="C62" s="58"/>
      <c r="D62" s="58"/>
      <c r="E62" s="74"/>
      <c r="F62" s="71"/>
      <c r="G62" s="174"/>
      <c r="H62" s="175"/>
      <c r="I62" s="16"/>
      <c r="J62" s="16"/>
    </row>
    <row r="63" spans="1:11" ht="18.75" customHeight="1" thickBot="1">
      <c r="A63" s="59"/>
      <c r="B63" s="60"/>
      <c r="C63" s="61" t="s">
        <v>159</v>
      </c>
      <c r="D63" s="79">
        <f>SUM(D10:D61)</f>
        <v>1</v>
      </c>
      <c r="E63" s="75">
        <f>SUM(E10:E62)</f>
        <v>913473.00000000012</v>
      </c>
      <c r="F63" s="147">
        <f>SUM(F10:F62)</f>
        <v>49000</v>
      </c>
      <c r="G63" s="148">
        <f>SUM(G10:G62)-G61</f>
        <v>864473</v>
      </c>
      <c r="H63" s="176">
        <f>SUM(H10:H61)</f>
        <v>997</v>
      </c>
      <c r="I63" s="75">
        <f>SUM(I10:I62)</f>
        <v>194166</v>
      </c>
      <c r="J63" s="75">
        <f>SUM(J10:J62)</f>
        <v>670307</v>
      </c>
    </row>
    <row r="64" spans="1:11" ht="13.5" customHeight="1">
      <c r="A64" s="29"/>
      <c r="B64" s="31"/>
      <c r="C64" s="29"/>
      <c r="D64" s="29"/>
      <c r="E64" s="139" t="s">
        <v>160</v>
      </c>
      <c r="F64" s="29"/>
      <c r="G64" s="29"/>
    </row>
    <row r="65" spans="1:7" ht="27" hidden="1" customHeight="1">
      <c r="A65" s="29"/>
      <c r="B65" s="29"/>
      <c r="C65" s="29"/>
      <c r="D65" s="29"/>
      <c r="E65" s="53"/>
      <c r="F65" s="52" t="s">
        <v>161</v>
      </c>
      <c r="G65" s="45">
        <v>0</v>
      </c>
    </row>
    <row r="66" spans="1:7">
      <c r="A66" s="29"/>
      <c r="B66" s="29"/>
      <c r="C66" s="29" t="s">
        <v>162</v>
      </c>
      <c r="D66" s="29"/>
      <c r="E66" s="54"/>
      <c r="F66" s="29"/>
      <c r="G66" s="29"/>
    </row>
    <row r="67" spans="1:7">
      <c r="A67" s="29"/>
      <c r="B67" s="29"/>
      <c r="C67" s="29"/>
      <c r="D67" s="29"/>
      <c r="E67" s="29"/>
      <c r="F67" s="29"/>
      <c r="G67" s="29"/>
    </row>
    <row r="68" spans="1:7">
      <c r="F68" s="55"/>
    </row>
    <row r="69" spans="1:7" ht="15.75" thickBot="1">
      <c r="A69" s="226" t="s">
        <v>259</v>
      </c>
      <c r="B69" s="156" t="s">
        <v>331</v>
      </c>
      <c r="C69" s="156"/>
      <c r="D69" s="155"/>
      <c r="E69" s="155"/>
      <c r="F69" s="155"/>
      <c r="G69" s="302">
        <v>340</v>
      </c>
    </row>
    <row r="70" spans="1:7" ht="19.5" customHeight="1">
      <c r="C70" s="135" t="s">
        <v>163</v>
      </c>
      <c r="D70" s="303">
        <f>$G$69*F70</f>
        <v>680</v>
      </c>
      <c r="E70" s="135" t="s">
        <v>329</v>
      </c>
      <c r="F70" s="301">
        <v>2</v>
      </c>
      <c r="G70" s="240"/>
    </row>
    <row r="71" spans="1:7" ht="14.25" customHeight="1">
      <c r="C71" s="135" t="s">
        <v>164</v>
      </c>
      <c r="D71" s="304">
        <f>$G$69*F71</f>
        <v>340</v>
      </c>
      <c r="E71" s="135" t="s">
        <v>329</v>
      </c>
      <c r="F71" s="301">
        <v>1</v>
      </c>
    </row>
    <row r="72" spans="1:7" ht="14.25" customHeight="1">
      <c r="C72" s="135" t="s">
        <v>165</v>
      </c>
      <c r="D72" s="304">
        <f t="shared" ref="D72:D74" si="6">$G$69*F72</f>
        <v>340</v>
      </c>
      <c r="E72" s="135" t="s">
        <v>329</v>
      </c>
      <c r="F72" s="301">
        <v>1</v>
      </c>
    </row>
    <row r="73" spans="1:7" ht="14.25" customHeight="1">
      <c r="C73" s="135" t="s">
        <v>166</v>
      </c>
      <c r="D73" s="304">
        <f t="shared" si="6"/>
        <v>340</v>
      </c>
      <c r="E73" s="135" t="s">
        <v>329</v>
      </c>
      <c r="F73" s="301">
        <v>1</v>
      </c>
    </row>
    <row r="74" spans="1:7" ht="14.25" customHeight="1">
      <c r="C74" s="135" t="s">
        <v>167</v>
      </c>
      <c r="D74" s="304">
        <f t="shared" si="6"/>
        <v>340</v>
      </c>
      <c r="E74" s="135" t="s">
        <v>329</v>
      </c>
      <c r="F74" s="301">
        <v>1</v>
      </c>
    </row>
    <row r="75" spans="1:7" ht="30" customHeight="1">
      <c r="C75" s="261" t="s">
        <v>321</v>
      </c>
      <c r="D75" s="304">
        <v>1697</v>
      </c>
      <c r="E75" s="135" t="s">
        <v>330</v>
      </c>
      <c r="F75" s="301"/>
    </row>
    <row r="76" spans="1:7">
      <c r="A76" s="254"/>
      <c r="B76" s="254"/>
      <c r="C76" s="261" t="s">
        <v>310</v>
      </c>
      <c r="D76" s="304">
        <f>$G$69*F76</f>
        <v>2040</v>
      </c>
      <c r="E76" s="135" t="s">
        <v>329</v>
      </c>
      <c r="F76" s="301">
        <v>6</v>
      </c>
      <c r="G76" s="254"/>
    </row>
    <row r="77" spans="1:7">
      <c r="C77" s="135" t="s">
        <v>169</v>
      </c>
      <c r="D77" s="304">
        <f>$G$69*F77</f>
        <v>340</v>
      </c>
      <c r="E77" s="135" t="s">
        <v>329</v>
      </c>
      <c r="F77" s="301">
        <v>1</v>
      </c>
    </row>
    <row r="78" spans="1:7">
      <c r="A78" s="254"/>
      <c r="B78" s="254"/>
      <c r="C78" s="135" t="s">
        <v>218</v>
      </c>
      <c r="D78" s="304">
        <f>$G$69*F78</f>
        <v>340</v>
      </c>
      <c r="E78" s="135" t="s">
        <v>329</v>
      </c>
      <c r="F78" s="301">
        <v>1</v>
      </c>
    </row>
    <row r="79" spans="1:7">
      <c r="C79" s="135" t="s">
        <v>170</v>
      </c>
      <c r="D79" s="304">
        <f t="shared" ref="D79:D91" si="7">$G$69*F79</f>
        <v>340</v>
      </c>
      <c r="E79" s="135" t="s">
        <v>329</v>
      </c>
      <c r="F79" s="301">
        <v>1</v>
      </c>
    </row>
    <row r="80" spans="1:7">
      <c r="C80" s="135" t="s">
        <v>172</v>
      </c>
      <c r="D80" s="304">
        <f t="shared" si="7"/>
        <v>680</v>
      </c>
      <c r="E80" s="135" t="s">
        <v>329</v>
      </c>
      <c r="F80" s="301">
        <v>2</v>
      </c>
    </row>
    <row r="81" spans="1:8">
      <c r="C81" s="135" t="s">
        <v>173</v>
      </c>
      <c r="D81" s="304">
        <f t="shared" si="7"/>
        <v>680</v>
      </c>
      <c r="E81" s="135" t="s">
        <v>329</v>
      </c>
      <c r="F81" s="301">
        <v>2</v>
      </c>
    </row>
    <row r="82" spans="1:8">
      <c r="C82" s="135" t="s">
        <v>174</v>
      </c>
      <c r="D82" s="304">
        <f t="shared" si="7"/>
        <v>680</v>
      </c>
      <c r="E82" s="135" t="s">
        <v>329</v>
      </c>
      <c r="F82" s="301">
        <v>2</v>
      </c>
    </row>
    <row r="83" spans="1:8" s="254" customFormat="1">
      <c r="C83" s="135" t="s">
        <v>225</v>
      </c>
      <c r="D83" s="304">
        <f t="shared" si="7"/>
        <v>340</v>
      </c>
      <c r="E83" s="135" t="s">
        <v>329</v>
      </c>
      <c r="F83" s="301">
        <v>1</v>
      </c>
    </row>
    <row r="84" spans="1:8">
      <c r="C84" s="135" t="s">
        <v>175</v>
      </c>
      <c r="D84" s="304">
        <f t="shared" si="7"/>
        <v>340</v>
      </c>
      <c r="E84" s="135" t="s">
        <v>329</v>
      </c>
      <c r="F84" s="301">
        <v>1</v>
      </c>
    </row>
    <row r="85" spans="1:8">
      <c r="C85" s="135" t="s">
        <v>176</v>
      </c>
      <c r="D85" s="304">
        <f t="shared" si="7"/>
        <v>340</v>
      </c>
      <c r="E85" s="135" t="s">
        <v>329</v>
      </c>
      <c r="F85" s="301">
        <v>1</v>
      </c>
    </row>
    <row r="86" spans="1:8">
      <c r="C86" s="135" t="s">
        <v>177</v>
      </c>
      <c r="D86" s="304">
        <f t="shared" si="7"/>
        <v>340</v>
      </c>
      <c r="E86" s="135" t="s">
        <v>329</v>
      </c>
      <c r="F86" s="301">
        <v>1</v>
      </c>
    </row>
    <row r="87" spans="1:8" s="254" customFormat="1">
      <c r="A87"/>
      <c r="B87"/>
      <c r="C87" s="135" t="s">
        <v>178</v>
      </c>
      <c r="D87" s="304">
        <f t="shared" si="7"/>
        <v>1020</v>
      </c>
      <c r="E87" s="135" t="s">
        <v>329</v>
      </c>
      <c r="F87" s="301">
        <v>3</v>
      </c>
      <c r="G87"/>
    </row>
    <row r="88" spans="1:8">
      <c r="A88" s="254"/>
      <c r="B88" s="254"/>
      <c r="C88" s="135" t="s">
        <v>233</v>
      </c>
      <c r="D88" s="304">
        <f t="shared" si="7"/>
        <v>340</v>
      </c>
      <c r="E88" s="135" t="s">
        <v>329</v>
      </c>
      <c r="F88" s="301">
        <v>1</v>
      </c>
      <c r="G88" s="254"/>
    </row>
    <row r="89" spans="1:8" ht="15" thickBot="1">
      <c r="A89" s="254"/>
      <c r="B89" s="254"/>
      <c r="C89" s="135" t="s">
        <v>234</v>
      </c>
      <c r="D89" s="304">
        <f t="shared" si="7"/>
        <v>340</v>
      </c>
      <c r="E89" s="135" t="s">
        <v>329</v>
      </c>
      <c r="F89" s="301">
        <v>1</v>
      </c>
    </row>
    <row r="90" spans="1:8" ht="15" thickBot="1">
      <c r="C90" s="135" t="s">
        <v>179</v>
      </c>
      <c r="D90" s="304">
        <f t="shared" si="7"/>
        <v>340</v>
      </c>
      <c r="E90" s="135" t="s">
        <v>329</v>
      </c>
      <c r="F90" s="301">
        <v>1</v>
      </c>
      <c r="H90" s="137"/>
    </row>
    <row r="91" spans="1:8" ht="15" customHeight="1" thickBot="1">
      <c r="C91" s="135" t="s">
        <v>180</v>
      </c>
      <c r="D91" s="304">
        <f t="shared" si="7"/>
        <v>340</v>
      </c>
      <c r="E91" s="135" t="s">
        <v>329</v>
      </c>
      <c r="F91" s="301">
        <v>1</v>
      </c>
    </row>
    <row r="92" spans="1:8" ht="23.25" customHeight="1" thickBot="1">
      <c r="A92" s="137"/>
      <c r="B92" s="137"/>
      <c r="C92" s="138" t="s">
        <v>182</v>
      </c>
      <c r="D92" s="300">
        <f>SUM(D70:D91)</f>
        <v>12577</v>
      </c>
      <c r="E92" s="259"/>
      <c r="F92" s="308">
        <f>SUM(F70:F91)</f>
        <v>32</v>
      </c>
      <c r="G92" s="137"/>
    </row>
    <row r="93" spans="1:8">
      <c r="C93" s="135"/>
    </row>
    <row r="94" spans="1:8" ht="15">
      <c r="C94" s="157"/>
      <c r="D94" s="158"/>
    </row>
  </sheetData>
  <mergeCells count="1">
    <mergeCell ref="I6:J6"/>
  </mergeCells>
  <phoneticPr fontId="0" type="noConversion"/>
  <pageMargins left="0.48" right="0.48" top="0.6" bottom="0.6" header="0.37" footer="0.26"/>
  <pageSetup scale="76" fitToHeight="2" orientation="portrait" verticalDpi="300" r:id="rId1"/>
  <headerFooter>
    <oddHeader>&amp;C&amp;K0000002021 Recommended MORE Budget</oddHeader>
    <oddFooter>&amp;C&amp;A</oddFooter>
  </headerFooter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  <pageSetUpPr fitToPage="1"/>
  </sheetPr>
  <dimension ref="A1:W63"/>
  <sheetViews>
    <sheetView showRuler="0" zoomScaleNormal="100" zoomScalePageLayoutView="96" workbookViewId="0"/>
  </sheetViews>
  <sheetFormatPr defaultColWidth="8" defaultRowHeight="12.75"/>
  <cols>
    <col min="1" max="1" width="3.75" style="85" customWidth="1"/>
    <col min="2" max="2" width="11.75" style="85" customWidth="1"/>
    <col min="3" max="3" width="9.875" style="85" bestFit="1" customWidth="1"/>
    <col min="4" max="4" width="10.25" style="85" bestFit="1" customWidth="1"/>
    <col min="5" max="5" width="9.875" style="85" bestFit="1" customWidth="1"/>
    <col min="6" max="7" width="9.875" style="85" customWidth="1"/>
    <col min="8" max="8" width="8.375" style="85" customWidth="1"/>
    <col min="9" max="9" width="9.25" style="85" bestFit="1" customWidth="1"/>
    <col min="10" max="10" width="7.75" style="85" customWidth="1"/>
    <col min="11" max="11" width="9.25" style="85" bestFit="1" customWidth="1"/>
    <col min="12" max="12" width="9.25" style="85" customWidth="1"/>
    <col min="13" max="13" width="9.25" style="85" bestFit="1" customWidth="1"/>
    <col min="14" max="14" width="7" style="85" customWidth="1"/>
    <col min="15" max="15" width="0.75" style="85" customWidth="1"/>
    <col min="16" max="16" width="9.25" style="85" customWidth="1"/>
    <col min="17" max="17" width="7.875" style="85" customWidth="1"/>
    <col min="18" max="18" width="9.25" style="85" bestFit="1" customWidth="1"/>
    <col min="19" max="19" width="9.125" style="85" customWidth="1"/>
    <col min="20" max="22" width="8" style="85"/>
    <col min="23" max="23" width="9" style="85" bestFit="1" customWidth="1"/>
    <col min="24" max="16384" width="8" style="85"/>
  </cols>
  <sheetData>
    <row r="1" spans="1:23" ht="15" customHeight="1">
      <c r="B1" s="84" t="s">
        <v>354</v>
      </c>
      <c r="H1" s="84" t="s">
        <v>183</v>
      </c>
      <c r="J1" s="206">
        <v>88158</v>
      </c>
      <c r="K1" s="154"/>
      <c r="Q1" s="84"/>
    </row>
    <row r="2" spans="1:23">
      <c r="B2" s="84" t="s">
        <v>368</v>
      </c>
      <c r="H2" s="161" t="s">
        <v>184</v>
      </c>
      <c r="J2" s="207">
        <v>1000</v>
      </c>
      <c r="K2" s="154"/>
    </row>
    <row r="3" spans="1:23" ht="8.25" customHeight="1"/>
    <row r="4" spans="1:23" ht="13.5" thickBot="1">
      <c r="A4" s="84" t="s">
        <v>369</v>
      </c>
      <c r="B4" s="84"/>
      <c r="D4" s="87" t="s">
        <v>185</v>
      </c>
      <c r="E4" s="87" t="s">
        <v>186</v>
      </c>
      <c r="F4" s="87" t="s">
        <v>187</v>
      </c>
    </row>
    <row r="5" spans="1:23" ht="13.5" thickBot="1">
      <c r="B5" s="85" t="s">
        <v>188</v>
      </c>
      <c r="C5" s="160">
        <f>'2021 Recommended budget'!H47</f>
        <v>952631</v>
      </c>
      <c r="D5" s="292">
        <f>J1-(J2*49)</f>
        <v>39158</v>
      </c>
      <c r="E5" s="208">
        <f>C5-D5</f>
        <v>913473</v>
      </c>
      <c r="F5" s="209">
        <f>'2021 Recommended budget'!H40</f>
        <v>194165</v>
      </c>
      <c r="I5" s="87">
        <v>7</v>
      </c>
      <c r="J5" s="87">
        <v>8</v>
      </c>
      <c r="K5" s="87">
        <v>9</v>
      </c>
      <c r="L5" s="87"/>
      <c r="M5" s="87">
        <v>10</v>
      </c>
      <c r="N5" s="87">
        <v>11</v>
      </c>
    </row>
    <row r="6" spans="1:23" ht="12" customHeight="1" thickBot="1">
      <c r="C6" s="86"/>
      <c r="D6" s="154"/>
      <c r="I6" s="312" t="s">
        <v>362</v>
      </c>
      <c r="J6" s="313"/>
      <c r="K6" s="313"/>
      <c r="L6" s="313"/>
      <c r="M6" s="313"/>
      <c r="N6" s="314"/>
      <c r="P6" s="87">
        <v>12</v>
      </c>
      <c r="Q6" s="87">
        <v>13</v>
      </c>
      <c r="R6" s="87">
        <v>14</v>
      </c>
      <c r="S6" s="87">
        <v>15</v>
      </c>
    </row>
    <row r="7" spans="1:23" ht="12.75" customHeight="1" thickBot="1"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315" t="s">
        <v>189</v>
      </c>
      <c r="J7" s="316"/>
      <c r="K7" s="316"/>
      <c r="L7" s="316"/>
      <c r="M7" s="316"/>
      <c r="N7" s="317"/>
      <c r="P7" s="312" t="s">
        <v>355</v>
      </c>
      <c r="Q7" s="313"/>
      <c r="R7" s="313"/>
      <c r="S7" s="184"/>
      <c r="W7" s="88"/>
    </row>
    <row r="8" spans="1:23" s="89" customFormat="1" ht="27" customHeight="1" thickBot="1">
      <c r="B8" s="89" t="s">
        <v>190</v>
      </c>
      <c r="C8" s="310" t="s">
        <v>357</v>
      </c>
      <c r="D8" s="90" t="s">
        <v>191</v>
      </c>
      <c r="E8" s="310" t="s">
        <v>358</v>
      </c>
      <c r="F8" s="90" t="s">
        <v>192</v>
      </c>
      <c r="G8" s="90" t="s">
        <v>193</v>
      </c>
      <c r="H8" s="90" t="s">
        <v>194</v>
      </c>
      <c r="I8" s="91" t="s">
        <v>356</v>
      </c>
      <c r="J8" s="90" t="s">
        <v>195</v>
      </c>
      <c r="K8" s="166" t="s">
        <v>196</v>
      </c>
      <c r="L8" s="142" t="s">
        <v>197</v>
      </c>
      <c r="M8" s="90" t="s">
        <v>198</v>
      </c>
      <c r="N8" s="92" t="s">
        <v>199</v>
      </c>
      <c r="O8" s="90"/>
      <c r="P8" s="234" t="s">
        <v>323</v>
      </c>
      <c r="Q8" s="233" t="s">
        <v>195</v>
      </c>
      <c r="R8" s="250" t="s">
        <v>196</v>
      </c>
      <c r="S8" s="297" t="s">
        <v>197</v>
      </c>
      <c r="U8" s="90"/>
      <c r="V8" s="90"/>
    </row>
    <row r="9" spans="1:23" s="93" customFormat="1" ht="15.75" customHeight="1">
      <c r="A9" s="146">
        <v>1</v>
      </c>
      <c r="B9" s="93" t="s">
        <v>163</v>
      </c>
      <c r="C9" s="272">
        <v>57422</v>
      </c>
      <c r="D9" s="210">
        <f>C9/$C$58</f>
        <v>3.9239751175887322E-2</v>
      </c>
      <c r="E9" s="260">
        <v>137463</v>
      </c>
      <c r="F9" s="210">
        <f>E9/$E$58</f>
        <v>3.5477243158856177E-2</v>
      </c>
      <c r="G9" s="211">
        <f>C9+E9</f>
        <v>194885</v>
      </c>
      <c r="H9" s="212">
        <f>G9/$G$58</f>
        <v>3.6508691198498928E-2</v>
      </c>
      <c r="I9" s="94">
        <f>ROUND(H9*$E$5,0)</f>
        <v>33350</v>
      </c>
      <c r="J9" s="246">
        <f t="shared" ref="J9:J19" si="0">IF(AND((I9-$J$2)&lt;800, (I9-$J$2)&lt;1000),I9-800,$J$2)</f>
        <v>1000</v>
      </c>
      <c r="K9" s="213">
        <f t="shared" ref="K9:K57" si="1">I9-J9</f>
        <v>32350</v>
      </c>
      <c r="L9" s="214">
        <f>ROUND(H9*$F$5,0)</f>
        <v>7089</v>
      </c>
      <c r="M9" s="247">
        <f t="shared" ref="M9:M57" si="2">K9-R9</f>
        <v>6905</v>
      </c>
      <c r="N9" s="215">
        <f>(K9-R9)/R9</f>
        <v>0.27136962075063864</v>
      </c>
      <c r="O9" s="95"/>
      <c r="P9" s="235">
        <v>25985</v>
      </c>
      <c r="Q9" s="246">
        <v>540</v>
      </c>
      <c r="R9" s="247">
        <v>25445</v>
      </c>
      <c r="S9" s="298">
        <v>6443</v>
      </c>
      <c r="U9" s="216"/>
      <c r="V9" s="97"/>
      <c r="W9" s="98"/>
    </row>
    <row r="10" spans="1:23" s="93" customFormat="1" ht="12.75" customHeight="1">
      <c r="A10" s="146">
        <v>2</v>
      </c>
      <c r="B10" s="154" t="s">
        <v>164</v>
      </c>
      <c r="C10" s="272">
        <v>43337</v>
      </c>
      <c r="D10" s="210">
        <f t="shared" ref="D10:D57" si="3">C10/$C$58</f>
        <v>2.9614661570642419E-2</v>
      </c>
      <c r="E10" s="260">
        <v>93917</v>
      </c>
      <c r="F10" s="210">
        <f t="shared" ref="F10:F57" si="4">E10/$E$58</f>
        <v>2.4238640548731625E-2</v>
      </c>
      <c r="G10" s="211">
        <f t="shared" ref="G10:G57" si="5">C10+E10</f>
        <v>137254</v>
      </c>
      <c r="H10" s="212">
        <f t="shared" ref="H10:H57" si="6">G10/$G$58</f>
        <v>2.5712414509884145E-2</v>
      </c>
      <c r="I10" s="96">
        <f t="shared" ref="I10:I35" si="7">ROUND(H10*$E$5,0)</f>
        <v>23488</v>
      </c>
      <c r="J10" s="246">
        <f t="shared" si="0"/>
        <v>1000</v>
      </c>
      <c r="K10" s="167">
        <f t="shared" si="1"/>
        <v>22488</v>
      </c>
      <c r="L10" s="141">
        <f t="shared" ref="L10:L35" si="8">ROUND(H10*$F$5,0)</f>
        <v>4992</v>
      </c>
      <c r="M10" s="99">
        <f t="shared" si="2"/>
        <v>3956</v>
      </c>
      <c r="N10" s="217">
        <f>(K10-R10)/R10</f>
        <v>0.21346859486293979</v>
      </c>
      <c r="O10" s="95"/>
      <c r="P10" s="236">
        <v>19072</v>
      </c>
      <c r="Q10" s="246">
        <v>540</v>
      </c>
      <c r="R10" s="237">
        <v>18532</v>
      </c>
      <c r="S10" s="299">
        <v>4729</v>
      </c>
      <c r="U10" s="216"/>
      <c r="V10" s="97"/>
      <c r="W10" s="98"/>
    </row>
    <row r="11" spans="1:23" s="93" customFormat="1">
      <c r="A11" s="146">
        <v>3</v>
      </c>
      <c r="B11" s="154" t="s">
        <v>200</v>
      </c>
      <c r="C11" s="272">
        <v>15649</v>
      </c>
      <c r="D11" s="210">
        <f t="shared" si="3"/>
        <v>1.0693860648383211E-2</v>
      </c>
      <c r="E11" s="260">
        <v>25118</v>
      </c>
      <c r="F11" s="210">
        <f t="shared" si="4"/>
        <v>6.4825981803405238E-3</v>
      </c>
      <c r="G11" s="211">
        <f t="shared" si="5"/>
        <v>40767</v>
      </c>
      <c r="H11" s="212">
        <f t="shared" si="6"/>
        <v>7.6370670605187966E-3</v>
      </c>
      <c r="I11" s="96">
        <f t="shared" si="7"/>
        <v>6976</v>
      </c>
      <c r="J11" s="246">
        <f t="shared" si="0"/>
        <v>1000</v>
      </c>
      <c r="K11" s="167">
        <f t="shared" si="1"/>
        <v>5976</v>
      </c>
      <c r="L11" s="141">
        <f t="shared" si="8"/>
        <v>1483</v>
      </c>
      <c r="M11" s="99">
        <f t="shared" si="2"/>
        <v>833</v>
      </c>
      <c r="N11" s="217">
        <f>(K11-R11)/R11</f>
        <v>0.16196772311880225</v>
      </c>
      <c r="O11" s="95"/>
      <c r="P11" s="236">
        <v>5683</v>
      </c>
      <c r="Q11" s="246">
        <v>540</v>
      </c>
      <c r="R11" s="237">
        <v>5143</v>
      </c>
      <c r="S11" s="299">
        <v>1409</v>
      </c>
      <c r="U11" s="216"/>
      <c r="V11" s="97"/>
      <c r="W11" s="98"/>
    </row>
    <row r="12" spans="1:23" s="93" customFormat="1">
      <c r="A12" s="146">
        <v>4</v>
      </c>
      <c r="B12" s="154" t="s">
        <v>165</v>
      </c>
      <c r="C12" s="272">
        <v>31516</v>
      </c>
      <c r="D12" s="210">
        <f t="shared" si="3"/>
        <v>2.1536693219659099E-2</v>
      </c>
      <c r="E12" s="260">
        <v>59992</v>
      </c>
      <c r="F12" s="210">
        <f t="shared" si="4"/>
        <v>1.5483081058802002E-2</v>
      </c>
      <c r="G12" s="211">
        <f t="shared" si="5"/>
        <v>91508</v>
      </c>
      <c r="H12" s="212">
        <f t="shared" si="6"/>
        <v>1.7142608790785538E-2</v>
      </c>
      <c r="I12" s="96">
        <f t="shared" si="7"/>
        <v>15659</v>
      </c>
      <c r="J12" s="246">
        <f t="shared" si="0"/>
        <v>1000</v>
      </c>
      <c r="K12" s="167">
        <f t="shared" si="1"/>
        <v>14659</v>
      </c>
      <c r="L12" s="141">
        <f t="shared" si="8"/>
        <v>3328</v>
      </c>
      <c r="M12" s="99">
        <f t="shared" si="2"/>
        <v>2841</v>
      </c>
      <c r="N12" s="217">
        <f>(K12-R12)/R12</f>
        <v>0.24039600609240142</v>
      </c>
      <c r="O12" s="95"/>
      <c r="P12" s="236">
        <v>12358</v>
      </c>
      <c r="Q12" s="246">
        <v>540</v>
      </c>
      <c r="R12" s="237">
        <v>11818</v>
      </c>
      <c r="S12" s="299">
        <v>3064</v>
      </c>
      <c r="U12" s="216"/>
      <c r="V12" s="97"/>
      <c r="W12" s="98"/>
    </row>
    <row r="13" spans="1:23" s="93" customFormat="1">
      <c r="A13" s="146">
        <v>5</v>
      </c>
      <c r="B13" s="93" t="s">
        <v>201</v>
      </c>
      <c r="C13" s="272">
        <v>15889</v>
      </c>
      <c r="D13" s="210">
        <f t="shared" si="3"/>
        <v>1.0857866435054051E-2</v>
      </c>
      <c r="E13" s="260">
        <v>20514</v>
      </c>
      <c r="F13" s="210">
        <f t="shared" si="4"/>
        <v>5.2943713301817621E-3</v>
      </c>
      <c r="G13" s="211">
        <f t="shared" si="5"/>
        <v>36403</v>
      </c>
      <c r="H13" s="212">
        <f t="shared" si="6"/>
        <v>6.8195391420527822E-3</v>
      </c>
      <c r="I13" s="96">
        <f t="shared" si="7"/>
        <v>6229</v>
      </c>
      <c r="J13" s="246">
        <f t="shared" si="0"/>
        <v>1000</v>
      </c>
      <c r="K13" s="167">
        <f t="shared" si="1"/>
        <v>5229</v>
      </c>
      <c r="L13" s="141">
        <f t="shared" si="8"/>
        <v>1324</v>
      </c>
      <c r="M13" s="99">
        <f t="shared" si="2"/>
        <v>798</v>
      </c>
      <c r="N13" s="217">
        <f>(K13-R13)/R13</f>
        <v>0.18009478672985782</v>
      </c>
      <c r="O13" s="95"/>
      <c r="P13" s="236">
        <v>4971</v>
      </c>
      <c r="Q13" s="246">
        <v>540</v>
      </c>
      <c r="R13" s="237">
        <v>4431</v>
      </c>
      <c r="S13" s="299">
        <v>1233</v>
      </c>
      <c r="U13" s="216"/>
      <c r="V13" s="97"/>
      <c r="W13" s="98"/>
    </row>
    <row r="14" spans="1:23" s="93" customFormat="1">
      <c r="A14" s="146">
        <v>6</v>
      </c>
      <c r="B14" s="154" t="s">
        <v>202</v>
      </c>
      <c r="C14" s="272">
        <v>33566</v>
      </c>
      <c r="D14" s="210">
        <f t="shared" si="3"/>
        <v>2.2937575980805855E-2</v>
      </c>
      <c r="E14" s="260">
        <v>67605</v>
      </c>
      <c r="F14" s="210">
        <f t="shared" si="4"/>
        <v>1.7447887968067566E-2</v>
      </c>
      <c r="G14" s="211">
        <f t="shared" si="5"/>
        <v>101171</v>
      </c>
      <c r="H14" s="212">
        <f t="shared" si="6"/>
        <v>1.8952822419597889E-2</v>
      </c>
      <c r="I14" s="96">
        <f t="shared" si="7"/>
        <v>17313</v>
      </c>
      <c r="J14" s="246">
        <f t="shared" si="0"/>
        <v>1000</v>
      </c>
      <c r="K14" s="167">
        <f t="shared" si="1"/>
        <v>16313</v>
      </c>
      <c r="L14" s="141">
        <f t="shared" si="8"/>
        <v>3680</v>
      </c>
      <c r="M14" s="99">
        <f t="shared" si="2"/>
        <v>3283</v>
      </c>
      <c r="N14" s="217">
        <f t="shared" ref="N14:N25" si="9">(K14-R14)/R14</f>
        <v>0.25195702225633154</v>
      </c>
      <c r="O14" s="95"/>
      <c r="P14" s="236">
        <v>13570</v>
      </c>
      <c r="Q14" s="246">
        <v>540</v>
      </c>
      <c r="R14" s="237">
        <v>13030</v>
      </c>
      <c r="S14" s="299">
        <v>3365</v>
      </c>
      <c r="U14" s="216"/>
      <c r="V14" s="97"/>
      <c r="W14" s="98"/>
    </row>
    <row r="15" spans="1:23" s="93" customFormat="1">
      <c r="A15" s="146">
        <v>7</v>
      </c>
      <c r="B15" s="154" t="s">
        <v>203</v>
      </c>
      <c r="C15" s="272">
        <v>25739</v>
      </c>
      <c r="D15" s="210">
        <f t="shared" si="3"/>
        <v>1.7588937263003097E-2</v>
      </c>
      <c r="E15" s="260">
        <v>68378</v>
      </c>
      <c r="F15" s="210">
        <f t="shared" si="4"/>
        <v>1.7647388262414378E-2</v>
      </c>
      <c r="G15" s="211">
        <f t="shared" si="5"/>
        <v>94117</v>
      </c>
      <c r="H15" s="212">
        <f t="shared" si="6"/>
        <v>1.7631364597219507E-2</v>
      </c>
      <c r="I15" s="96">
        <f t="shared" si="7"/>
        <v>16106</v>
      </c>
      <c r="J15" s="246">
        <f t="shared" si="0"/>
        <v>1000</v>
      </c>
      <c r="K15" s="167">
        <f t="shared" si="1"/>
        <v>15106</v>
      </c>
      <c r="L15" s="141">
        <f t="shared" si="8"/>
        <v>3423</v>
      </c>
      <c r="M15" s="99">
        <f t="shared" si="2"/>
        <v>3176</v>
      </c>
      <c r="N15" s="217">
        <f t="shared" si="9"/>
        <v>0.26621961441743502</v>
      </c>
      <c r="O15" s="95"/>
      <c r="P15" s="236">
        <v>12470</v>
      </c>
      <c r="Q15" s="246">
        <v>540</v>
      </c>
      <c r="R15" s="237">
        <v>11930</v>
      </c>
      <c r="S15" s="299">
        <v>3092</v>
      </c>
      <c r="U15" s="216"/>
      <c r="V15" s="97"/>
      <c r="W15" s="98"/>
    </row>
    <row r="16" spans="1:23" s="93" customFormat="1">
      <c r="A16" s="146">
        <v>8</v>
      </c>
      <c r="B16" s="93" t="s">
        <v>204</v>
      </c>
      <c r="C16" s="272">
        <v>12820</v>
      </c>
      <c r="D16" s="210">
        <f t="shared" si="3"/>
        <v>8.7606424380006868E-3</v>
      </c>
      <c r="E16" s="260">
        <v>26944</v>
      </c>
      <c r="F16" s="210">
        <f t="shared" si="4"/>
        <v>6.9538627825103541E-3</v>
      </c>
      <c r="G16" s="211">
        <f t="shared" si="5"/>
        <v>39764</v>
      </c>
      <c r="H16" s="212">
        <f t="shared" si="6"/>
        <v>7.4491705201380877E-3</v>
      </c>
      <c r="I16" s="96">
        <f t="shared" si="7"/>
        <v>6805</v>
      </c>
      <c r="J16" s="246">
        <f t="shared" si="0"/>
        <v>1000</v>
      </c>
      <c r="K16" s="167">
        <f t="shared" si="1"/>
        <v>5805</v>
      </c>
      <c r="L16" s="141">
        <f t="shared" si="8"/>
        <v>1446</v>
      </c>
      <c r="M16" s="99">
        <f t="shared" si="2"/>
        <v>793</v>
      </c>
      <c r="N16" s="217">
        <f t="shared" si="9"/>
        <v>0.15822027134876296</v>
      </c>
      <c r="O16" s="95"/>
      <c r="P16" s="236">
        <v>5552</v>
      </c>
      <c r="Q16" s="246">
        <v>540</v>
      </c>
      <c r="R16" s="237">
        <v>5012</v>
      </c>
      <c r="S16" s="299">
        <v>1377</v>
      </c>
      <c r="U16" s="216"/>
      <c r="V16" s="97"/>
      <c r="W16" s="98"/>
    </row>
    <row r="17" spans="1:23" s="93" customFormat="1">
      <c r="A17" s="146">
        <v>9</v>
      </c>
      <c r="B17" s="154" t="s">
        <v>205</v>
      </c>
      <c r="C17" s="272">
        <v>18687</v>
      </c>
      <c r="D17" s="210">
        <f t="shared" si="3"/>
        <v>1.2769900564658257E-2</v>
      </c>
      <c r="E17" s="260">
        <v>13259</v>
      </c>
      <c r="F17" s="210">
        <f t="shared" si="4"/>
        <v>3.4219591238607771E-3</v>
      </c>
      <c r="G17" s="211">
        <f t="shared" si="5"/>
        <v>31946</v>
      </c>
      <c r="H17" s="212">
        <f t="shared" si="6"/>
        <v>5.9845891116671202E-3</v>
      </c>
      <c r="I17" s="96">
        <f t="shared" si="7"/>
        <v>5467</v>
      </c>
      <c r="J17" s="246">
        <f t="shared" si="0"/>
        <v>1000</v>
      </c>
      <c r="K17" s="167">
        <f t="shared" si="1"/>
        <v>4467</v>
      </c>
      <c r="L17" s="141">
        <f t="shared" si="8"/>
        <v>1162</v>
      </c>
      <c r="M17" s="99">
        <f t="shared" si="2"/>
        <v>528</v>
      </c>
      <c r="N17" s="217">
        <f t="shared" si="9"/>
        <v>0.13404417364813404</v>
      </c>
      <c r="O17" s="95"/>
      <c r="P17" s="236">
        <v>4479</v>
      </c>
      <c r="Q17" s="246">
        <v>540</v>
      </c>
      <c r="R17" s="237">
        <v>3939</v>
      </c>
      <c r="S17" s="299">
        <v>1111</v>
      </c>
      <c r="U17" s="216"/>
      <c r="V17" s="97"/>
      <c r="W17" s="98"/>
    </row>
    <row r="18" spans="1:23" s="93" customFormat="1">
      <c r="A18" s="146">
        <v>10</v>
      </c>
      <c r="B18" s="154" t="s">
        <v>206</v>
      </c>
      <c r="C18" s="272">
        <v>16068</v>
      </c>
      <c r="D18" s="210">
        <f t="shared" si="3"/>
        <v>1.0980187417612718E-2</v>
      </c>
      <c r="E18" s="260">
        <v>27991</v>
      </c>
      <c r="F18" s="210">
        <f t="shared" si="4"/>
        <v>7.2240785757588816E-3</v>
      </c>
      <c r="G18" s="211">
        <f t="shared" si="5"/>
        <v>44059</v>
      </c>
      <c r="H18" s="212">
        <f t="shared" si="6"/>
        <v>8.2537723555669452E-3</v>
      </c>
      <c r="I18" s="96">
        <f t="shared" si="7"/>
        <v>7540</v>
      </c>
      <c r="J18" s="246">
        <f t="shared" si="0"/>
        <v>1000</v>
      </c>
      <c r="K18" s="167">
        <f t="shared" si="1"/>
        <v>6540</v>
      </c>
      <c r="L18" s="141">
        <f t="shared" si="8"/>
        <v>1603</v>
      </c>
      <c r="M18" s="99">
        <f t="shared" si="2"/>
        <v>712</v>
      </c>
      <c r="N18" s="217">
        <f t="shared" si="9"/>
        <v>0.12216884008236102</v>
      </c>
      <c r="O18" s="95"/>
      <c r="P18" s="236">
        <v>6368</v>
      </c>
      <c r="Q18" s="246">
        <v>540</v>
      </c>
      <c r="R18" s="237">
        <v>5828</v>
      </c>
      <c r="S18" s="299">
        <v>1579</v>
      </c>
      <c r="U18" s="216"/>
      <c r="V18" s="97"/>
      <c r="W18" s="98"/>
    </row>
    <row r="19" spans="1:23" s="93" customFormat="1" ht="12.75" customHeight="1">
      <c r="A19" s="146">
        <v>11</v>
      </c>
      <c r="B19" s="154" t="s">
        <v>207</v>
      </c>
      <c r="C19" s="272">
        <v>10120</v>
      </c>
      <c r="D19" s="210">
        <f t="shared" si="3"/>
        <v>6.9155773379537405E-3</v>
      </c>
      <c r="E19" s="260">
        <v>25921</v>
      </c>
      <c r="F19" s="210">
        <f t="shared" si="4"/>
        <v>6.6898410475597862E-3</v>
      </c>
      <c r="G19" s="211">
        <f t="shared" si="5"/>
        <v>36041</v>
      </c>
      <c r="H19" s="212">
        <f t="shared" si="6"/>
        <v>6.7517240397418979E-3</v>
      </c>
      <c r="I19" s="96">
        <f t="shared" si="7"/>
        <v>6168</v>
      </c>
      <c r="J19" s="246">
        <f t="shared" si="0"/>
        <v>1000</v>
      </c>
      <c r="K19" s="167">
        <f t="shared" si="1"/>
        <v>5168</v>
      </c>
      <c r="L19" s="141">
        <f t="shared" si="8"/>
        <v>1311</v>
      </c>
      <c r="M19" s="99">
        <f t="shared" si="2"/>
        <v>1073</v>
      </c>
      <c r="N19" s="217">
        <f t="shared" si="9"/>
        <v>0.26202686202686204</v>
      </c>
      <c r="O19" s="95"/>
      <c r="P19" s="236">
        <v>4635</v>
      </c>
      <c r="Q19" s="246">
        <v>540</v>
      </c>
      <c r="R19" s="237">
        <v>4095</v>
      </c>
      <c r="S19" s="299">
        <v>1149</v>
      </c>
      <c r="U19" s="216"/>
      <c r="V19" s="97"/>
      <c r="W19" s="98"/>
    </row>
    <row r="20" spans="1:23" s="93" customFormat="1" ht="12" customHeight="1">
      <c r="A20" s="146">
        <v>12</v>
      </c>
      <c r="B20" s="93" t="s">
        <v>208</v>
      </c>
      <c r="C20" s="272">
        <v>12100</v>
      </c>
      <c r="D20" s="210">
        <f t="shared" si="3"/>
        <v>8.2686250779881679E-3</v>
      </c>
      <c r="E20" s="260">
        <v>10289</v>
      </c>
      <c r="F20" s="210">
        <f t="shared" si="4"/>
        <v>2.6554444094881616E-3</v>
      </c>
      <c r="G20" s="211">
        <f t="shared" si="5"/>
        <v>22389</v>
      </c>
      <c r="H20" s="212">
        <f t="shared" si="6"/>
        <v>4.1942329437524304E-3</v>
      </c>
      <c r="I20" s="96">
        <f t="shared" si="7"/>
        <v>3831</v>
      </c>
      <c r="J20" s="246">
        <f>IF(AND((I20-$J$2)&lt;800, (I20-$J$2)&lt;1000),I20-800,$J$2)</f>
        <v>1000</v>
      </c>
      <c r="K20" s="167">
        <f t="shared" si="1"/>
        <v>2831</v>
      </c>
      <c r="L20" s="141">
        <f t="shared" si="8"/>
        <v>814</v>
      </c>
      <c r="M20" s="99">
        <f t="shared" si="2"/>
        <v>657</v>
      </c>
      <c r="N20" s="217">
        <f t="shared" si="9"/>
        <v>0.30220791168353267</v>
      </c>
      <c r="O20" s="95"/>
      <c r="P20" s="236">
        <v>2714</v>
      </c>
      <c r="Q20" s="246">
        <v>540</v>
      </c>
      <c r="R20" s="237">
        <v>2174</v>
      </c>
      <c r="S20" s="299">
        <v>673</v>
      </c>
      <c r="U20" s="216"/>
      <c r="V20" s="97"/>
      <c r="W20" s="98"/>
    </row>
    <row r="21" spans="1:23" s="93" customFormat="1">
      <c r="A21" s="146">
        <v>13</v>
      </c>
      <c r="B21" s="154" t="s">
        <v>209</v>
      </c>
      <c r="C21" s="272">
        <v>16836</v>
      </c>
      <c r="D21" s="210">
        <f t="shared" si="3"/>
        <v>1.1505005934959405E-2</v>
      </c>
      <c r="E21" s="260">
        <v>35268</v>
      </c>
      <c r="F21" s="210">
        <f t="shared" si="4"/>
        <v>9.1021686688529981E-3</v>
      </c>
      <c r="G21" s="211">
        <f t="shared" si="5"/>
        <v>52104</v>
      </c>
      <c r="H21" s="212">
        <f t="shared" si="6"/>
        <v>9.7608787038847931E-3</v>
      </c>
      <c r="I21" s="96">
        <f t="shared" si="7"/>
        <v>8916</v>
      </c>
      <c r="J21" s="246">
        <f t="shared" ref="J21:J57" si="10">IF(AND((I21-$J$2)&lt;800, (I21-$J$2)&lt;1000),I21-800,$J$2)</f>
        <v>1000</v>
      </c>
      <c r="K21" s="167">
        <f t="shared" si="1"/>
        <v>7916</v>
      </c>
      <c r="L21" s="141">
        <f t="shared" si="8"/>
        <v>1895</v>
      </c>
      <c r="M21" s="99">
        <f t="shared" si="2"/>
        <v>854</v>
      </c>
      <c r="N21" s="217">
        <f t="shared" si="9"/>
        <v>0.12092891532143868</v>
      </c>
      <c r="O21" s="95"/>
      <c r="P21" s="236">
        <v>7602</v>
      </c>
      <c r="Q21" s="246">
        <v>540</v>
      </c>
      <c r="R21" s="237">
        <v>7062</v>
      </c>
      <c r="S21" s="299">
        <v>1885</v>
      </c>
      <c r="U21" s="216"/>
      <c r="V21" s="97"/>
      <c r="W21" s="98"/>
    </row>
    <row r="22" spans="1:23" s="93" customFormat="1">
      <c r="A22" s="146">
        <v>14</v>
      </c>
      <c r="B22" s="93" t="s">
        <v>210</v>
      </c>
      <c r="C22" s="272">
        <v>105145</v>
      </c>
      <c r="D22" s="210">
        <f t="shared" si="3"/>
        <v>7.1851618497939335E-2</v>
      </c>
      <c r="E22" s="260">
        <v>239761</v>
      </c>
      <c r="F22" s="210">
        <f t="shared" si="4"/>
        <v>6.1878900482388095E-2</v>
      </c>
      <c r="G22" s="211">
        <f t="shared" si="5"/>
        <v>344906</v>
      </c>
      <c r="H22" s="212">
        <f t="shared" si="6"/>
        <v>6.4612805739330731E-2</v>
      </c>
      <c r="I22" s="96">
        <f t="shared" si="7"/>
        <v>59022</v>
      </c>
      <c r="J22" s="246">
        <f t="shared" si="10"/>
        <v>1000</v>
      </c>
      <c r="K22" s="167">
        <f t="shared" si="1"/>
        <v>58022</v>
      </c>
      <c r="L22" s="141">
        <f t="shared" si="8"/>
        <v>12546</v>
      </c>
      <c r="M22" s="99">
        <f t="shared" si="2"/>
        <v>8605</v>
      </c>
      <c r="N22" s="217">
        <f t="shared" si="9"/>
        <v>0.17413035999757168</v>
      </c>
      <c r="O22" s="95"/>
      <c r="P22" s="236">
        <v>49957</v>
      </c>
      <c r="Q22" s="246">
        <v>540</v>
      </c>
      <c r="R22" s="237">
        <v>49417</v>
      </c>
      <c r="S22" s="299">
        <v>12387</v>
      </c>
      <c r="U22" s="216"/>
      <c r="V22" s="97"/>
      <c r="W22" s="98"/>
    </row>
    <row r="23" spans="1:23" s="93" customFormat="1">
      <c r="A23" s="146">
        <v>15</v>
      </c>
      <c r="B23" s="93" t="s">
        <v>211</v>
      </c>
      <c r="C23" s="272">
        <v>20081</v>
      </c>
      <c r="D23" s="210">
        <f t="shared" si="3"/>
        <v>1.372250084223805E-2</v>
      </c>
      <c r="E23" s="260">
        <v>28660</v>
      </c>
      <c r="F23" s="210">
        <f t="shared" si="4"/>
        <v>7.3967379508145317E-3</v>
      </c>
      <c r="G23" s="211">
        <f t="shared" si="5"/>
        <v>48741</v>
      </c>
      <c r="H23" s="212">
        <f t="shared" si="6"/>
        <v>9.1308726567259461E-3</v>
      </c>
      <c r="I23" s="96">
        <f t="shared" si="7"/>
        <v>8341</v>
      </c>
      <c r="J23" s="246">
        <f t="shared" si="10"/>
        <v>1000</v>
      </c>
      <c r="K23" s="167">
        <f t="shared" si="1"/>
        <v>7341</v>
      </c>
      <c r="L23" s="141">
        <f t="shared" si="8"/>
        <v>1773</v>
      </c>
      <c r="M23" s="99">
        <f t="shared" si="2"/>
        <v>1035</v>
      </c>
      <c r="N23" s="217">
        <f t="shared" si="9"/>
        <v>0.16412940057088488</v>
      </c>
      <c r="O23" s="95"/>
      <c r="P23" s="236">
        <v>6846</v>
      </c>
      <c r="Q23" s="246">
        <v>540</v>
      </c>
      <c r="R23" s="237">
        <v>6306</v>
      </c>
      <c r="S23" s="299">
        <v>1697</v>
      </c>
      <c r="U23" s="216"/>
      <c r="V23" s="97"/>
      <c r="W23" s="98"/>
    </row>
    <row r="24" spans="1:23" s="93" customFormat="1">
      <c r="A24" s="146">
        <v>16</v>
      </c>
      <c r="B24" s="93" t="s">
        <v>212</v>
      </c>
      <c r="C24" s="272">
        <v>11313</v>
      </c>
      <c r="D24" s="210">
        <f t="shared" si="3"/>
        <v>7.7308227691967064E-3</v>
      </c>
      <c r="E24" s="260">
        <v>32028</v>
      </c>
      <c r="F24" s="210">
        <f t="shared" si="4"/>
        <v>8.2659707986283259E-3</v>
      </c>
      <c r="G24" s="211">
        <f t="shared" si="5"/>
        <v>43341</v>
      </c>
      <c r="H24" s="212">
        <f t="shared" si="6"/>
        <v>8.1192661581657999E-3</v>
      </c>
      <c r="I24" s="96">
        <f t="shared" si="7"/>
        <v>7417</v>
      </c>
      <c r="J24" s="246">
        <f t="shared" si="10"/>
        <v>1000</v>
      </c>
      <c r="K24" s="167">
        <f t="shared" si="1"/>
        <v>6417</v>
      </c>
      <c r="L24" s="141">
        <f t="shared" si="8"/>
        <v>1576</v>
      </c>
      <c r="M24" s="99">
        <f t="shared" si="2"/>
        <v>1601</v>
      </c>
      <c r="N24" s="217">
        <f t="shared" si="9"/>
        <v>0.33243355481727577</v>
      </c>
      <c r="O24" s="95"/>
      <c r="P24" s="236">
        <v>5356</v>
      </c>
      <c r="Q24" s="246">
        <v>540</v>
      </c>
      <c r="R24" s="237">
        <v>4816</v>
      </c>
      <c r="S24" s="299">
        <v>1328</v>
      </c>
      <c r="U24" s="216"/>
      <c r="V24" s="97"/>
      <c r="W24" s="98"/>
    </row>
    <row r="25" spans="1:23" s="93" customFormat="1">
      <c r="A25" s="146">
        <v>17</v>
      </c>
      <c r="B25" s="154" t="s">
        <v>213</v>
      </c>
      <c r="C25" s="272">
        <v>32411</v>
      </c>
      <c r="D25" s="210">
        <f t="shared" si="3"/>
        <v>2.2148298132452442E-2</v>
      </c>
      <c r="E25" s="260">
        <v>64536</v>
      </c>
      <c r="F25" s="210">
        <f t="shared" si="4"/>
        <v>1.6655822763215863E-2</v>
      </c>
      <c r="G25" s="211">
        <f t="shared" si="5"/>
        <v>96947</v>
      </c>
      <c r="H25" s="212">
        <f t="shared" si="6"/>
        <v>1.816152133627973E-2</v>
      </c>
      <c r="I25" s="96">
        <f t="shared" si="7"/>
        <v>16590</v>
      </c>
      <c r="J25" s="246">
        <f t="shared" si="10"/>
        <v>1000</v>
      </c>
      <c r="K25" s="167">
        <f t="shared" si="1"/>
        <v>15590</v>
      </c>
      <c r="L25" s="141">
        <f t="shared" si="8"/>
        <v>3526</v>
      </c>
      <c r="M25" s="99">
        <f t="shared" si="2"/>
        <v>3420</v>
      </c>
      <c r="N25" s="217">
        <f t="shared" si="9"/>
        <v>0.28101889893179949</v>
      </c>
      <c r="O25" s="95"/>
      <c r="P25" s="236">
        <v>12710</v>
      </c>
      <c r="Q25" s="246">
        <v>540</v>
      </c>
      <c r="R25" s="237">
        <v>12170</v>
      </c>
      <c r="S25" s="299">
        <v>3152</v>
      </c>
      <c r="U25" s="216"/>
      <c r="V25" s="97"/>
      <c r="W25" s="98"/>
    </row>
    <row r="26" spans="1:23" s="93" customFormat="1">
      <c r="A26" s="146">
        <v>18</v>
      </c>
      <c r="B26" s="93" t="s">
        <v>214</v>
      </c>
      <c r="C26" s="272">
        <v>10290</v>
      </c>
      <c r="D26" s="210">
        <f t="shared" si="3"/>
        <v>7.0317481035122526E-3</v>
      </c>
      <c r="E26" s="260">
        <v>9677</v>
      </c>
      <c r="F26" s="210">
        <f t="shared" si="4"/>
        <v>2.4974959228901681E-3</v>
      </c>
      <c r="G26" s="211">
        <f t="shared" si="5"/>
        <v>19967</v>
      </c>
      <c r="H26" s="212">
        <f t="shared" si="6"/>
        <v>3.7405086956945276E-3</v>
      </c>
      <c r="I26" s="96">
        <f t="shared" si="7"/>
        <v>3417</v>
      </c>
      <c r="J26" s="246">
        <f t="shared" si="10"/>
        <v>1000</v>
      </c>
      <c r="K26" s="167">
        <f t="shared" si="1"/>
        <v>2417</v>
      </c>
      <c r="L26" s="141">
        <f t="shared" si="8"/>
        <v>726</v>
      </c>
      <c r="M26" s="99">
        <f t="shared" si="2"/>
        <v>-86</v>
      </c>
      <c r="N26" s="217">
        <f t="shared" ref="N26:N36" si="11">(K26-R26)/R26</f>
        <v>-3.4358769476628047E-2</v>
      </c>
      <c r="O26" s="95"/>
      <c r="P26" s="236">
        <v>3043</v>
      </c>
      <c r="Q26" s="246">
        <v>540</v>
      </c>
      <c r="R26" s="237">
        <v>2503</v>
      </c>
      <c r="S26" s="299">
        <v>755</v>
      </c>
      <c r="U26" s="216"/>
      <c r="V26" s="97"/>
      <c r="W26" s="98"/>
    </row>
    <row r="27" spans="1:23" s="93" customFormat="1">
      <c r="A27" s="146">
        <v>19</v>
      </c>
      <c r="B27" s="93" t="s">
        <v>215</v>
      </c>
      <c r="C27" s="272">
        <v>13093</v>
      </c>
      <c r="D27" s="210">
        <f t="shared" si="3"/>
        <v>8.9471990203387683E-3</v>
      </c>
      <c r="E27" s="260">
        <v>15055</v>
      </c>
      <c r="F27" s="210">
        <f t="shared" si="4"/>
        <v>3.8854811531581568E-3</v>
      </c>
      <c r="G27" s="211">
        <f t="shared" si="5"/>
        <v>28148</v>
      </c>
      <c r="H27" s="212">
        <f t="shared" si="6"/>
        <v>5.2730925410131501E-3</v>
      </c>
      <c r="I27" s="96">
        <f t="shared" si="7"/>
        <v>4817</v>
      </c>
      <c r="J27" s="246">
        <f t="shared" si="10"/>
        <v>1000</v>
      </c>
      <c r="K27" s="167">
        <f t="shared" si="1"/>
        <v>3817</v>
      </c>
      <c r="L27" s="141">
        <f t="shared" si="8"/>
        <v>1024</v>
      </c>
      <c r="M27" s="99">
        <f t="shared" si="2"/>
        <v>495</v>
      </c>
      <c r="N27" s="217">
        <f t="shared" si="11"/>
        <v>0.1490066225165563</v>
      </c>
      <c r="O27" s="95"/>
      <c r="P27" s="236">
        <v>3862</v>
      </c>
      <c r="Q27" s="246">
        <v>540</v>
      </c>
      <c r="R27" s="237">
        <v>3322</v>
      </c>
      <c r="S27" s="299">
        <v>958</v>
      </c>
      <c r="U27" s="216"/>
      <c r="V27" s="97"/>
      <c r="W27" s="98"/>
    </row>
    <row r="28" spans="1:23" s="93" customFormat="1" ht="12" customHeight="1">
      <c r="A28" s="146">
        <v>20</v>
      </c>
      <c r="B28" s="93" t="s">
        <v>168</v>
      </c>
      <c r="C28" s="272">
        <v>183021</v>
      </c>
      <c r="D28" s="210">
        <f t="shared" si="3"/>
        <v>0.12506876284284899</v>
      </c>
      <c r="E28" s="260">
        <v>802013</v>
      </c>
      <c r="F28" s="210">
        <f t="shared" si="4"/>
        <v>0.20698813657175907</v>
      </c>
      <c r="G28" s="211">
        <f t="shared" si="5"/>
        <v>985034</v>
      </c>
      <c r="H28" s="212">
        <f t="shared" si="6"/>
        <v>0.18453088809309179</v>
      </c>
      <c r="I28" s="96">
        <f t="shared" si="7"/>
        <v>168564</v>
      </c>
      <c r="J28" s="246">
        <f t="shared" si="10"/>
        <v>1000</v>
      </c>
      <c r="K28" s="167">
        <f t="shared" si="1"/>
        <v>167564</v>
      </c>
      <c r="L28" s="141">
        <f t="shared" si="8"/>
        <v>35829</v>
      </c>
      <c r="M28" s="99">
        <f t="shared" si="2"/>
        <v>25414</v>
      </c>
      <c r="N28" s="217">
        <f t="shared" si="11"/>
        <v>0.17878297572986282</v>
      </c>
      <c r="O28" s="95"/>
      <c r="P28" s="236">
        <v>142690</v>
      </c>
      <c r="Q28" s="246">
        <v>540</v>
      </c>
      <c r="R28" s="237">
        <v>142150</v>
      </c>
      <c r="S28" s="299">
        <v>35380</v>
      </c>
      <c r="U28" s="216"/>
      <c r="V28" s="97"/>
      <c r="W28" s="98"/>
    </row>
    <row r="29" spans="1:23" s="93" customFormat="1">
      <c r="A29" s="146">
        <v>21</v>
      </c>
      <c r="B29" s="93" t="s">
        <v>216</v>
      </c>
      <c r="C29" s="272">
        <v>24625</v>
      </c>
      <c r="D29" s="210">
        <f t="shared" si="3"/>
        <v>1.6827677069872614E-2</v>
      </c>
      <c r="E29" s="260">
        <v>65297</v>
      </c>
      <c r="F29" s="210">
        <f t="shared" si="4"/>
        <v>1.6852226028413693E-2</v>
      </c>
      <c r="G29" s="211">
        <f t="shared" si="5"/>
        <v>89922</v>
      </c>
      <c r="H29" s="212">
        <f t="shared" si="6"/>
        <v>1.6845496215467687E-2</v>
      </c>
      <c r="I29" s="96">
        <f t="shared" si="7"/>
        <v>15388</v>
      </c>
      <c r="J29" s="246">
        <f t="shared" si="10"/>
        <v>1000</v>
      </c>
      <c r="K29" s="167">
        <f t="shared" si="1"/>
        <v>14388</v>
      </c>
      <c r="L29" s="141">
        <f t="shared" si="8"/>
        <v>3271</v>
      </c>
      <c r="M29" s="99">
        <f t="shared" si="2"/>
        <v>1477</v>
      </c>
      <c r="N29" s="217">
        <f t="shared" si="11"/>
        <v>0.11439857485864767</v>
      </c>
      <c r="O29" s="95"/>
      <c r="P29" s="236">
        <v>13451</v>
      </c>
      <c r="Q29" s="246">
        <v>540</v>
      </c>
      <c r="R29" s="237">
        <v>12911</v>
      </c>
      <c r="S29" s="299">
        <v>3335</v>
      </c>
      <c r="U29" s="216"/>
      <c r="V29" s="97"/>
      <c r="W29" s="98"/>
    </row>
    <row r="30" spans="1:23" s="93" customFormat="1">
      <c r="A30" s="146">
        <v>22</v>
      </c>
      <c r="B30" s="93" t="s">
        <v>217</v>
      </c>
      <c r="C30" s="272">
        <v>7044</v>
      </c>
      <c r="D30" s="210">
        <f t="shared" si="3"/>
        <v>4.8135698387891451E-3</v>
      </c>
      <c r="E30" s="260">
        <v>14391</v>
      </c>
      <c r="F30" s="210">
        <f t="shared" si="4"/>
        <v>3.7141122069145821E-3</v>
      </c>
      <c r="G30" s="211">
        <f t="shared" si="5"/>
        <v>21435</v>
      </c>
      <c r="H30" s="212">
        <f t="shared" si="6"/>
        <v>4.0155157956734714E-3</v>
      </c>
      <c r="I30" s="96">
        <f t="shared" si="7"/>
        <v>3668</v>
      </c>
      <c r="J30" s="246">
        <f t="shared" si="10"/>
        <v>1000</v>
      </c>
      <c r="K30" s="167">
        <f t="shared" si="1"/>
        <v>2668</v>
      </c>
      <c r="L30" s="141">
        <f t="shared" si="8"/>
        <v>780</v>
      </c>
      <c r="M30" s="99">
        <f t="shared" si="2"/>
        <v>22</v>
      </c>
      <c r="N30" s="217">
        <f t="shared" si="11"/>
        <v>8.3144368858654571E-3</v>
      </c>
      <c r="O30" s="95"/>
      <c r="P30" s="236">
        <v>3186</v>
      </c>
      <c r="Q30" s="246">
        <v>540</v>
      </c>
      <c r="R30" s="237">
        <v>2646</v>
      </c>
      <c r="S30" s="299">
        <v>790</v>
      </c>
      <c r="U30" s="216"/>
      <c r="V30" s="97"/>
      <c r="W30" s="98"/>
    </row>
    <row r="31" spans="1:23" s="93" customFormat="1">
      <c r="A31" s="146">
        <v>23</v>
      </c>
      <c r="B31" s="93" t="s">
        <v>218</v>
      </c>
      <c r="C31" s="272">
        <v>15938</v>
      </c>
      <c r="D31" s="210">
        <f t="shared" si="3"/>
        <v>1.0891350949832681E-2</v>
      </c>
      <c r="E31" s="260">
        <v>29521</v>
      </c>
      <c r="F31" s="210">
        <f t="shared" si="4"/>
        <v>7.6189497922538657E-3</v>
      </c>
      <c r="G31" s="211">
        <f t="shared" si="5"/>
        <v>45459</v>
      </c>
      <c r="H31" s="212">
        <f t="shared" si="6"/>
        <v>8.5160407070455028E-3</v>
      </c>
      <c r="I31" s="96">
        <f t="shared" si="7"/>
        <v>7779</v>
      </c>
      <c r="J31" s="246">
        <f t="shared" si="10"/>
        <v>1000</v>
      </c>
      <c r="K31" s="167">
        <f t="shared" si="1"/>
        <v>6779</v>
      </c>
      <c r="L31" s="141">
        <f t="shared" si="8"/>
        <v>1654</v>
      </c>
      <c r="M31" s="99">
        <f t="shared" si="2"/>
        <v>1332</v>
      </c>
      <c r="N31" s="217">
        <f t="shared" si="11"/>
        <v>0.24453827795116578</v>
      </c>
      <c r="O31" s="95"/>
      <c r="P31" s="236">
        <v>5987</v>
      </c>
      <c r="Q31" s="246">
        <v>540</v>
      </c>
      <c r="R31" s="237">
        <v>5447</v>
      </c>
      <c r="S31" s="299">
        <v>1484</v>
      </c>
      <c r="U31" s="216"/>
      <c r="V31" s="97"/>
      <c r="W31" s="98"/>
    </row>
    <row r="32" spans="1:23" s="93" customFormat="1">
      <c r="A32" s="146">
        <v>24</v>
      </c>
      <c r="B32" s="93" t="s">
        <v>219</v>
      </c>
      <c r="C32" s="272">
        <v>19495</v>
      </c>
      <c r="D32" s="210">
        <f t="shared" si="3"/>
        <v>1.3322053379783417E-2</v>
      </c>
      <c r="E32" s="260">
        <v>39115</v>
      </c>
      <c r="F32" s="210">
        <f t="shared" si="4"/>
        <v>1.0095024596863587E-2</v>
      </c>
      <c r="G32" s="211">
        <f t="shared" si="5"/>
        <v>58610</v>
      </c>
      <c r="H32" s="212">
        <f t="shared" si="6"/>
        <v>1.0979677200113001E-2</v>
      </c>
      <c r="I32" s="96">
        <f t="shared" si="7"/>
        <v>10030</v>
      </c>
      <c r="J32" s="246">
        <f t="shared" si="10"/>
        <v>1000</v>
      </c>
      <c r="K32" s="167">
        <f t="shared" si="1"/>
        <v>9030</v>
      </c>
      <c r="L32" s="141">
        <f t="shared" si="8"/>
        <v>2132</v>
      </c>
      <c r="M32" s="99">
        <f t="shared" si="2"/>
        <v>1026</v>
      </c>
      <c r="N32" s="217">
        <f t="shared" si="11"/>
        <v>0.12818590704647675</v>
      </c>
      <c r="O32" s="95"/>
      <c r="P32" s="236">
        <v>8544</v>
      </c>
      <c r="Q32" s="246">
        <v>540</v>
      </c>
      <c r="R32" s="237">
        <v>8004</v>
      </c>
      <c r="S32" s="299">
        <v>2118</v>
      </c>
      <c r="U32" s="216"/>
      <c r="V32" s="97"/>
      <c r="W32" s="98"/>
    </row>
    <row r="33" spans="1:23" s="93" customFormat="1">
      <c r="A33" s="146">
        <v>25</v>
      </c>
      <c r="B33" s="93" t="s">
        <v>171</v>
      </c>
      <c r="C33" s="272">
        <v>7828</v>
      </c>
      <c r="D33" s="210">
        <f t="shared" si="3"/>
        <v>5.3493220752472218E-3</v>
      </c>
      <c r="E33" s="260">
        <v>20455</v>
      </c>
      <c r="F33" s="210">
        <f t="shared" si="4"/>
        <v>5.2791442701992757E-3</v>
      </c>
      <c r="G33" s="211">
        <f t="shared" si="5"/>
        <v>28283</v>
      </c>
      <c r="H33" s="212">
        <f t="shared" si="6"/>
        <v>5.2983827034771541E-3</v>
      </c>
      <c r="I33" s="96">
        <f t="shared" si="7"/>
        <v>4840</v>
      </c>
      <c r="J33" s="246">
        <f t="shared" si="10"/>
        <v>1000</v>
      </c>
      <c r="K33" s="167">
        <f t="shared" si="1"/>
        <v>3840</v>
      </c>
      <c r="L33" s="141">
        <f t="shared" si="8"/>
        <v>1029</v>
      </c>
      <c r="M33" s="99">
        <f t="shared" si="2"/>
        <v>356</v>
      </c>
      <c r="N33" s="217">
        <f t="shared" si="11"/>
        <v>0.10218140068886337</v>
      </c>
      <c r="O33" s="95"/>
      <c r="P33" s="236">
        <v>4024</v>
      </c>
      <c r="Q33" s="246">
        <v>540</v>
      </c>
      <c r="R33" s="237">
        <v>3484</v>
      </c>
      <c r="S33" s="299">
        <v>998</v>
      </c>
      <c r="U33" s="216"/>
      <c r="V33" s="97"/>
      <c r="W33" s="98"/>
    </row>
    <row r="34" spans="1:23" s="93" customFormat="1">
      <c r="A34" s="146">
        <v>26</v>
      </c>
      <c r="B34" s="154" t="s">
        <v>220</v>
      </c>
      <c r="C34" s="272">
        <v>31004</v>
      </c>
      <c r="D34" s="210">
        <f t="shared" si="3"/>
        <v>2.1186814208094644E-2</v>
      </c>
      <c r="E34" s="260">
        <v>46938</v>
      </c>
      <c r="F34" s="210">
        <f t="shared" si="4"/>
        <v>1.2114029516236304E-2</v>
      </c>
      <c r="G34" s="211">
        <f t="shared" si="5"/>
        <v>77942</v>
      </c>
      <c r="H34" s="212">
        <f t="shared" si="6"/>
        <v>1.4601228464958326E-2</v>
      </c>
      <c r="I34" s="96">
        <f t="shared" si="7"/>
        <v>13338</v>
      </c>
      <c r="J34" s="246">
        <f t="shared" si="10"/>
        <v>1000</v>
      </c>
      <c r="K34" s="167">
        <f t="shared" si="1"/>
        <v>12338</v>
      </c>
      <c r="L34" s="141">
        <f t="shared" si="8"/>
        <v>2835</v>
      </c>
      <c r="M34" s="99">
        <f t="shared" si="2"/>
        <v>1702</v>
      </c>
      <c r="N34" s="217">
        <f t="shared" si="11"/>
        <v>0.16002256487401278</v>
      </c>
      <c r="O34" s="95"/>
      <c r="P34" s="236">
        <v>11176</v>
      </c>
      <c r="Q34" s="246">
        <v>540</v>
      </c>
      <c r="R34" s="237">
        <v>10636</v>
      </c>
      <c r="S34" s="299">
        <v>2771</v>
      </c>
      <c r="U34" s="216"/>
      <c r="V34" s="97"/>
      <c r="W34" s="98"/>
    </row>
    <row r="35" spans="1:23" s="93" customFormat="1">
      <c r="A35" s="146">
        <v>27</v>
      </c>
      <c r="B35" s="93" t="s">
        <v>172</v>
      </c>
      <c r="C35" s="272">
        <v>58910</v>
      </c>
      <c r="D35" s="210">
        <f t="shared" si="3"/>
        <v>4.0256587053246529E-2</v>
      </c>
      <c r="E35" s="260">
        <v>230294</v>
      </c>
      <c r="F35" s="210">
        <f t="shared" si="4"/>
        <v>5.9435602569605082E-2</v>
      </c>
      <c r="G35" s="211">
        <f t="shared" si="5"/>
        <v>289204</v>
      </c>
      <c r="H35" s="212">
        <f t="shared" si="6"/>
        <v>5.4177897372146053E-2</v>
      </c>
      <c r="I35" s="96">
        <f t="shared" si="7"/>
        <v>49490</v>
      </c>
      <c r="J35" s="246">
        <f t="shared" si="10"/>
        <v>1000</v>
      </c>
      <c r="K35" s="167">
        <f t="shared" si="1"/>
        <v>48490</v>
      </c>
      <c r="L35" s="141">
        <f t="shared" si="8"/>
        <v>10519</v>
      </c>
      <c r="M35" s="99">
        <f t="shared" si="2"/>
        <v>6628</v>
      </c>
      <c r="N35" s="217">
        <f t="shared" si="11"/>
        <v>0.15832975013138406</v>
      </c>
      <c r="O35" s="95"/>
      <c r="P35" s="236">
        <v>42402</v>
      </c>
      <c r="Q35" s="246">
        <v>540</v>
      </c>
      <c r="R35" s="237">
        <v>41862</v>
      </c>
      <c r="S35" s="299">
        <v>10513</v>
      </c>
      <c r="U35" s="216"/>
      <c r="V35" s="97"/>
      <c r="W35" s="98"/>
    </row>
    <row r="36" spans="1:23" s="93" customFormat="1">
      <c r="A36" s="146">
        <v>28</v>
      </c>
      <c r="B36" s="154" t="s">
        <v>221</v>
      </c>
      <c r="C36" s="272">
        <v>39877</v>
      </c>
      <c r="D36" s="210">
        <f t="shared" si="3"/>
        <v>2.725024481280448E-2</v>
      </c>
      <c r="E36" s="260">
        <v>105778</v>
      </c>
      <c r="F36" s="210">
        <f t="shared" si="4"/>
        <v>2.7299795776736201E-2</v>
      </c>
      <c r="G36" s="211">
        <f t="shared" si="5"/>
        <v>145655</v>
      </c>
      <c r="H36" s="212">
        <f t="shared" si="6"/>
        <v>2.7286211953292255E-2</v>
      </c>
      <c r="I36" s="96">
        <f t="shared" ref="I36:I57" si="12">ROUND(H36*$E$5,0)</f>
        <v>24925</v>
      </c>
      <c r="J36" s="246">
        <f t="shared" si="10"/>
        <v>1000</v>
      </c>
      <c r="K36" s="167">
        <f t="shared" si="1"/>
        <v>23925</v>
      </c>
      <c r="L36" s="141">
        <f t="shared" ref="L36:L57" si="13">ROUND(H36*$F$5,0)</f>
        <v>5298</v>
      </c>
      <c r="M36" s="99">
        <f t="shared" si="2"/>
        <v>5403</v>
      </c>
      <c r="N36" s="217">
        <f t="shared" si="11"/>
        <v>0.29170715905409783</v>
      </c>
      <c r="O36" s="95"/>
      <c r="P36" s="236">
        <v>19062</v>
      </c>
      <c r="Q36" s="246">
        <v>540</v>
      </c>
      <c r="R36" s="237">
        <v>18522</v>
      </c>
      <c r="S36" s="299">
        <v>4726</v>
      </c>
      <c r="U36" s="216"/>
      <c r="V36" s="97"/>
      <c r="W36" s="98"/>
    </row>
    <row r="37" spans="1:23" s="93" customFormat="1">
      <c r="A37" s="146">
        <v>29</v>
      </c>
      <c r="B37" s="93" t="s">
        <v>222</v>
      </c>
      <c r="C37" s="272">
        <v>15208</v>
      </c>
      <c r="D37" s="210">
        <f t="shared" si="3"/>
        <v>1.0392500015375542E-2</v>
      </c>
      <c r="E37" s="260">
        <v>26570</v>
      </c>
      <c r="F37" s="210">
        <f t="shared" si="4"/>
        <v>6.8573387073671355E-3</v>
      </c>
      <c r="G37" s="211">
        <f t="shared" si="5"/>
        <v>41778</v>
      </c>
      <c r="H37" s="212">
        <f t="shared" si="6"/>
        <v>7.8264622771936684E-3</v>
      </c>
      <c r="I37" s="96">
        <f t="shared" si="12"/>
        <v>7149</v>
      </c>
      <c r="J37" s="246">
        <f t="shared" si="10"/>
        <v>1000</v>
      </c>
      <c r="K37" s="167">
        <f t="shared" si="1"/>
        <v>6149</v>
      </c>
      <c r="L37" s="141">
        <f t="shared" si="13"/>
        <v>1520</v>
      </c>
      <c r="M37" s="99">
        <f t="shared" si="2"/>
        <v>1134</v>
      </c>
      <c r="N37" s="217">
        <f t="shared" ref="N37:N58" si="14">(K37-R37)/R37</f>
        <v>0.22612163509471586</v>
      </c>
      <c r="O37" s="95"/>
      <c r="P37" s="236">
        <v>5555</v>
      </c>
      <c r="Q37" s="246">
        <v>540</v>
      </c>
      <c r="R37" s="237">
        <v>5015</v>
      </c>
      <c r="S37" s="299">
        <v>1377</v>
      </c>
      <c r="U37" s="216"/>
      <c r="V37" s="97"/>
      <c r="W37" s="98"/>
    </row>
    <row r="38" spans="1:23" s="93" customFormat="1">
      <c r="A38" s="146">
        <v>30</v>
      </c>
      <c r="B38" s="93" t="s">
        <v>173</v>
      </c>
      <c r="C38" s="272">
        <v>52115</v>
      </c>
      <c r="D38" s="210">
        <f t="shared" si="3"/>
        <v>3.5613173218128381E-2</v>
      </c>
      <c r="E38" s="260">
        <v>272069</v>
      </c>
      <c r="F38" s="210">
        <f t="shared" si="4"/>
        <v>7.0217135294492625E-2</v>
      </c>
      <c r="G38" s="211">
        <f t="shared" si="5"/>
        <v>324184</v>
      </c>
      <c r="H38" s="212">
        <f t="shared" si="6"/>
        <v>6.073085946837456E-2</v>
      </c>
      <c r="I38" s="96">
        <f t="shared" si="12"/>
        <v>55476</v>
      </c>
      <c r="J38" s="246">
        <f t="shared" si="10"/>
        <v>1000</v>
      </c>
      <c r="K38" s="167">
        <f t="shared" si="1"/>
        <v>54476</v>
      </c>
      <c r="L38" s="141">
        <f t="shared" si="13"/>
        <v>11792</v>
      </c>
      <c r="M38" s="99">
        <f t="shared" si="2"/>
        <v>6491</v>
      </c>
      <c r="N38" s="217">
        <f t="shared" si="14"/>
        <v>0.13527143899135147</v>
      </c>
      <c r="O38" s="95"/>
      <c r="P38" s="236">
        <v>48525</v>
      </c>
      <c r="Q38" s="246">
        <v>540</v>
      </c>
      <c r="R38" s="237">
        <v>47985</v>
      </c>
      <c r="S38" s="299">
        <v>12032</v>
      </c>
      <c r="U38" s="216"/>
      <c r="V38" s="97"/>
      <c r="W38" s="98"/>
    </row>
    <row r="39" spans="1:23" s="93" customFormat="1">
      <c r="A39" s="146">
        <v>31</v>
      </c>
      <c r="B39" s="93" t="s">
        <v>223</v>
      </c>
      <c r="C39" s="272">
        <v>16106</v>
      </c>
      <c r="D39" s="210">
        <f t="shared" si="3"/>
        <v>1.1006155000502268E-2</v>
      </c>
      <c r="E39" s="260">
        <v>22818</v>
      </c>
      <c r="F39" s="210">
        <f t="shared" si="4"/>
        <v>5.8890009267859728E-3</v>
      </c>
      <c r="G39" s="211">
        <f t="shared" si="5"/>
        <v>38924</v>
      </c>
      <c r="H39" s="212">
        <f t="shared" si="6"/>
        <v>7.2918095092509537E-3</v>
      </c>
      <c r="I39" s="96">
        <f t="shared" si="12"/>
        <v>6661</v>
      </c>
      <c r="J39" s="246">
        <f t="shared" si="10"/>
        <v>1000</v>
      </c>
      <c r="K39" s="167">
        <f t="shared" si="1"/>
        <v>5661</v>
      </c>
      <c r="L39" s="141">
        <f t="shared" si="13"/>
        <v>1416</v>
      </c>
      <c r="M39" s="99">
        <f t="shared" si="2"/>
        <v>-463</v>
      </c>
      <c r="N39" s="217">
        <f t="shared" si="14"/>
        <v>-7.560418027433051E-2</v>
      </c>
      <c r="O39" s="95"/>
      <c r="P39" s="236">
        <v>6664</v>
      </c>
      <c r="Q39" s="246">
        <v>540</v>
      </c>
      <c r="R39" s="237">
        <v>6124</v>
      </c>
      <c r="S39" s="299">
        <v>1652</v>
      </c>
      <c r="U39" s="216"/>
      <c r="V39" s="97"/>
      <c r="W39" s="98"/>
    </row>
    <row r="40" spans="1:23" s="93" customFormat="1">
      <c r="A40" s="146">
        <v>32</v>
      </c>
      <c r="B40" s="93" t="s">
        <v>174</v>
      </c>
      <c r="C40" s="272">
        <v>56143</v>
      </c>
      <c r="D40" s="210">
        <f t="shared" si="3"/>
        <v>3.8365737004420641E-2</v>
      </c>
      <c r="E40" s="260">
        <v>205008</v>
      </c>
      <c r="F40" s="210">
        <f t="shared" si="4"/>
        <v>5.2909645981178838E-2</v>
      </c>
      <c r="G40" s="211">
        <f t="shared" si="5"/>
        <v>261151</v>
      </c>
      <c r="H40" s="212">
        <f t="shared" si="6"/>
        <v>4.8922601612126089E-2</v>
      </c>
      <c r="I40" s="96">
        <f t="shared" si="12"/>
        <v>44689</v>
      </c>
      <c r="J40" s="246">
        <f t="shared" si="10"/>
        <v>1000</v>
      </c>
      <c r="K40" s="167">
        <f t="shared" si="1"/>
        <v>43689</v>
      </c>
      <c r="L40" s="141">
        <f t="shared" si="13"/>
        <v>9499</v>
      </c>
      <c r="M40" s="99">
        <f t="shared" si="2"/>
        <v>8571</v>
      </c>
      <c r="N40" s="217">
        <f t="shared" si="14"/>
        <v>0.24406287373996241</v>
      </c>
      <c r="O40" s="95"/>
      <c r="P40" s="236">
        <v>35658</v>
      </c>
      <c r="Q40" s="246">
        <v>540</v>
      </c>
      <c r="R40" s="237">
        <v>35118</v>
      </c>
      <c r="S40" s="299">
        <v>8841</v>
      </c>
      <c r="U40" s="216"/>
      <c r="V40" s="97"/>
      <c r="W40" s="98"/>
    </row>
    <row r="41" spans="1:23" s="93" customFormat="1">
      <c r="A41" s="146">
        <v>33</v>
      </c>
      <c r="B41" s="154" t="s">
        <v>224</v>
      </c>
      <c r="C41" s="272">
        <v>18535</v>
      </c>
      <c r="D41" s="210">
        <f t="shared" si="3"/>
        <v>1.2666030233100058E-2</v>
      </c>
      <c r="E41" s="260">
        <v>10401</v>
      </c>
      <c r="F41" s="210">
        <f t="shared" si="4"/>
        <v>2.6843500148786442E-3</v>
      </c>
      <c r="G41" s="211">
        <f t="shared" si="5"/>
        <v>28936</v>
      </c>
      <c r="H41" s="212">
        <f t="shared" si="6"/>
        <v>5.4207121559882235E-3</v>
      </c>
      <c r="I41" s="96">
        <f t="shared" si="12"/>
        <v>4952</v>
      </c>
      <c r="J41" s="246">
        <f t="shared" si="10"/>
        <v>1000</v>
      </c>
      <c r="K41" s="167">
        <f t="shared" si="1"/>
        <v>3952</v>
      </c>
      <c r="L41" s="141">
        <f t="shared" si="13"/>
        <v>1053</v>
      </c>
      <c r="M41" s="99">
        <f t="shared" si="2"/>
        <v>610</v>
      </c>
      <c r="N41" s="217">
        <f t="shared" si="14"/>
        <v>0.18252543387193298</v>
      </c>
      <c r="O41" s="95"/>
      <c r="P41" s="236">
        <v>3882</v>
      </c>
      <c r="Q41" s="246">
        <v>540</v>
      </c>
      <c r="R41" s="237">
        <v>3342</v>
      </c>
      <c r="S41" s="299">
        <v>962</v>
      </c>
      <c r="U41" s="216"/>
      <c r="V41" s="97"/>
      <c r="W41" s="98"/>
    </row>
    <row r="42" spans="1:23" s="93" customFormat="1">
      <c r="A42" s="146">
        <v>34</v>
      </c>
      <c r="B42" s="93" t="s">
        <v>225</v>
      </c>
      <c r="C42" s="272">
        <v>24301</v>
      </c>
      <c r="D42" s="210">
        <f t="shared" si="3"/>
        <v>1.6606269257866981E-2</v>
      </c>
      <c r="E42" s="260">
        <v>73792</v>
      </c>
      <c r="F42" s="210">
        <f t="shared" si="4"/>
        <v>1.9044664580129305E-2</v>
      </c>
      <c r="G42" s="211">
        <f t="shared" si="5"/>
        <v>98093</v>
      </c>
      <c r="H42" s="212">
        <f t="shared" si="6"/>
        <v>1.8376206715418605E-2</v>
      </c>
      <c r="I42" s="96">
        <f t="shared" si="12"/>
        <v>16786</v>
      </c>
      <c r="J42" s="246">
        <f t="shared" si="10"/>
        <v>1000</v>
      </c>
      <c r="K42" s="167">
        <f t="shared" si="1"/>
        <v>15786</v>
      </c>
      <c r="L42" s="141">
        <f t="shared" si="13"/>
        <v>3568</v>
      </c>
      <c r="M42" s="99">
        <f t="shared" si="2"/>
        <v>3758</v>
      </c>
      <c r="N42" s="217">
        <f t="shared" si="14"/>
        <v>0.31243764549384767</v>
      </c>
      <c r="O42" s="95"/>
      <c r="P42" s="236">
        <v>12568</v>
      </c>
      <c r="Q42" s="246">
        <v>540</v>
      </c>
      <c r="R42" s="237">
        <v>12028</v>
      </c>
      <c r="S42" s="299">
        <v>3116</v>
      </c>
      <c r="U42" s="216"/>
      <c r="V42" s="97"/>
      <c r="W42" s="98"/>
    </row>
    <row r="43" spans="1:23" s="93" customFormat="1">
      <c r="A43" s="146">
        <v>35</v>
      </c>
      <c r="B43" s="93" t="s">
        <v>226</v>
      </c>
      <c r="C43" s="272">
        <v>41845</v>
      </c>
      <c r="D43" s="210">
        <f t="shared" si="3"/>
        <v>2.8595092263505362E-2</v>
      </c>
      <c r="E43" s="260">
        <v>53706</v>
      </c>
      <c r="F43" s="210">
        <f t="shared" si="4"/>
        <v>1.3860753956261173E-2</v>
      </c>
      <c r="G43" s="211">
        <f t="shared" si="5"/>
        <v>95551</v>
      </c>
      <c r="H43" s="212">
        <f t="shared" si="6"/>
        <v>1.7900002322948257E-2</v>
      </c>
      <c r="I43" s="96">
        <f t="shared" si="12"/>
        <v>16351</v>
      </c>
      <c r="J43" s="246">
        <f t="shared" si="10"/>
        <v>1000</v>
      </c>
      <c r="K43" s="167">
        <f t="shared" si="1"/>
        <v>15351</v>
      </c>
      <c r="L43" s="141">
        <f t="shared" si="13"/>
        <v>3476</v>
      </c>
      <c r="M43" s="99">
        <f t="shared" si="2"/>
        <v>2620</v>
      </c>
      <c r="N43" s="217">
        <f t="shared" si="14"/>
        <v>0.20579687377268086</v>
      </c>
      <c r="O43" s="95"/>
      <c r="P43" s="236">
        <v>13271</v>
      </c>
      <c r="Q43" s="246">
        <v>540</v>
      </c>
      <c r="R43" s="237">
        <v>12731</v>
      </c>
      <c r="S43" s="299">
        <v>3291</v>
      </c>
      <c r="U43" s="216"/>
      <c r="V43" s="97"/>
      <c r="W43" s="98"/>
    </row>
    <row r="44" spans="1:23" s="93" customFormat="1">
      <c r="A44" s="146">
        <v>36</v>
      </c>
      <c r="B44" s="93" t="s">
        <v>175</v>
      </c>
      <c r="C44" s="272">
        <v>16052</v>
      </c>
      <c r="D44" s="210">
        <f t="shared" si="3"/>
        <v>1.0969253698501328E-2</v>
      </c>
      <c r="E44" s="260">
        <v>14667</v>
      </c>
      <c r="F44" s="210">
        <f t="shared" si="4"/>
        <v>3.7853438773411282E-3</v>
      </c>
      <c r="G44" s="211">
        <f t="shared" si="5"/>
        <v>30719</v>
      </c>
      <c r="H44" s="212">
        <f t="shared" si="6"/>
        <v>5.7547296350498418E-3</v>
      </c>
      <c r="I44" s="96">
        <f t="shared" si="12"/>
        <v>5257</v>
      </c>
      <c r="J44" s="246">
        <f t="shared" si="10"/>
        <v>1000</v>
      </c>
      <c r="K44" s="167">
        <f t="shared" si="1"/>
        <v>4257</v>
      </c>
      <c r="L44" s="141">
        <f t="shared" si="13"/>
        <v>1117</v>
      </c>
      <c r="M44" s="99">
        <f t="shared" si="2"/>
        <v>679</v>
      </c>
      <c r="N44" s="217">
        <f t="shared" si="14"/>
        <v>0.18977082168809389</v>
      </c>
      <c r="O44" s="95"/>
      <c r="P44" s="236">
        <v>4118</v>
      </c>
      <c r="Q44" s="246">
        <v>540</v>
      </c>
      <c r="R44" s="237">
        <v>3578</v>
      </c>
      <c r="S44" s="299">
        <v>1021</v>
      </c>
      <c r="U44" s="216"/>
      <c r="V44" s="97"/>
      <c r="W44" s="98"/>
    </row>
    <row r="45" spans="1:23" s="93" customFormat="1">
      <c r="A45" s="146">
        <v>37</v>
      </c>
      <c r="B45" s="154" t="s">
        <v>227</v>
      </c>
      <c r="C45" s="272">
        <v>20558</v>
      </c>
      <c r="D45" s="210">
        <f t="shared" si="3"/>
        <v>1.4048462343246344E-2</v>
      </c>
      <c r="E45" s="260">
        <v>58957</v>
      </c>
      <c r="F45" s="210">
        <f t="shared" si="4"/>
        <v>1.5215962294702455E-2</v>
      </c>
      <c r="G45" s="211">
        <f t="shared" si="5"/>
        <v>79515</v>
      </c>
      <c r="H45" s="212">
        <f t="shared" si="6"/>
        <v>1.489590569129816E-2</v>
      </c>
      <c r="I45" s="96">
        <f t="shared" si="12"/>
        <v>13607</v>
      </c>
      <c r="J45" s="246">
        <f t="shared" si="10"/>
        <v>1000</v>
      </c>
      <c r="K45" s="167">
        <f t="shared" si="1"/>
        <v>12607</v>
      </c>
      <c r="L45" s="141">
        <f t="shared" si="13"/>
        <v>2892</v>
      </c>
      <c r="M45" s="99">
        <f t="shared" si="2"/>
        <v>1794</v>
      </c>
      <c r="N45" s="217">
        <f t="shared" si="14"/>
        <v>0.16591140294090448</v>
      </c>
      <c r="O45" s="95"/>
      <c r="P45" s="236">
        <v>11353</v>
      </c>
      <c r="Q45" s="246">
        <v>540</v>
      </c>
      <c r="R45" s="237">
        <v>10813</v>
      </c>
      <c r="S45" s="299">
        <v>2815</v>
      </c>
      <c r="U45" s="216"/>
      <c r="V45" s="97"/>
      <c r="W45" s="98"/>
    </row>
    <row r="46" spans="1:23" s="93" customFormat="1">
      <c r="A46" s="146">
        <v>38</v>
      </c>
      <c r="B46" s="154" t="s">
        <v>228</v>
      </c>
      <c r="C46" s="272">
        <v>17020</v>
      </c>
      <c r="D46" s="210">
        <f t="shared" si="3"/>
        <v>1.1630743704740383E-2</v>
      </c>
      <c r="E46" s="260">
        <v>22583</v>
      </c>
      <c r="F46" s="210">
        <f t="shared" si="4"/>
        <v>5.8283507726184427E-3</v>
      </c>
      <c r="G46" s="211">
        <f t="shared" si="5"/>
        <v>39603</v>
      </c>
      <c r="H46" s="212">
        <f t="shared" si="6"/>
        <v>7.4190096597180543E-3</v>
      </c>
      <c r="I46" s="96">
        <f t="shared" si="12"/>
        <v>6777</v>
      </c>
      <c r="J46" s="246">
        <f t="shared" si="10"/>
        <v>1000</v>
      </c>
      <c r="K46" s="167">
        <f t="shared" si="1"/>
        <v>5777</v>
      </c>
      <c r="L46" s="141">
        <f t="shared" si="13"/>
        <v>1441</v>
      </c>
      <c r="M46" s="99">
        <f t="shared" si="2"/>
        <v>1169</v>
      </c>
      <c r="N46" s="217">
        <f t="shared" si="14"/>
        <v>0.2536892361111111</v>
      </c>
      <c r="O46" s="95"/>
      <c r="P46" s="236">
        <v>5148</v>
      </c>
      <c r="Q46" s="246">
        <v>540</v>
      </c>
      <c r="R46" s="237">
        <v>4608</v>
      </c>
      <c r="S46" s="299">
        <v>1277</v>
      </c>
      <c r="U46" s="216"/>
      <c r="V46" s="97"/>
      <c r="W46" s="98"/>
    </row>
    <row r="47" spans="1:23" s="93" customFormat="1">
      <c r="A47" s="146">
        <v>39</v>
      </c>
      <c r="B47" s="93" t="s">
        <v>229</v>
      </c>
      <c r="C47" s="272">
        <v>31871</v>
      </c>
      <c r="D47" s="210">
        <f t="shared" si="3"/>
        <v>2.177928511244305E-2</v>
      </c>
      <c r="E47" s="260">
        <v>50967</v>
      </c>
      <c r="F47" s="210">
        <f t="shared" si="4"/>
        <v>1.3153857053006429E-2</v>
      </c>
      <c r="G47" s="211">
        <f t="shared" si="5"/>
        <v>82838</v>
      </c>
      <c r="H47" s="212">
        <f t="shared" si="6"/>
        <v>1.5518418356986191E-2</v>
      </c>
      <c r="I47" s="96">
        <f t="shared" si="12"/>
        <v>14176</v>
      </c>
      <c r="J47" s="246">
        <f t="shared" si="10"/>
        <v>1000</v>
      </c>
      <c r="K47" s="167">
        <f t="shared" si="1"/>
        <v>13176</v>
      </c>
      <c r="L47" s="141">
        <f t="shared" si="13"/>
        <v>3013</v>
      </c>
      <c r="M47" s="99">
        <f t="shared" si="2"/>
        <v>2295</v>
      </c>
      <c r="N47" s="217">
        <f t="shared" si="14"/>
        <v>0.21091811414392059</v>
      </c>
      <c r="O47" s="95"/>
      <c r="P47" s="236">
        <v>11421</v>
      </c>
      <c r="Q47" s="246">
        <v>540</v>
      </c>
      <c r="R47" s="237">
        <v>10881</v>
      </c>
      <c r="S47" s="299">
        <v>2832</v>
      </c>
      <c r="U47" s="216"/>
      <c r="V47" s="97"/>
      <c r="W47" s="98"/>
    </row>
    <row r="48" spans="1:23" s="93" customFormat="1">
      <c r="A48" s="146">
        <v>40</v>
      </c>
      <c r="B48" s="154" t="s">
        <v>230</v>
      </c>
      <c r="C48" s="272">
        <v>27803</v>
      </c>
      <c r="D48" s="210">
        <f t="shared" si="3"/>
        <v>1.8999387028372318E-2</v>
      </c>
      <c r="E48" s="260">
        <v>133408</v>
      </c>
      <c r="F48" s="210">
        <f t="shared" si="4"/>
        <v>3.4430705392263262E-2</v>
      </c>
      <c r="G48" s="211">
        <f t="shared" si="5"/>
        <v>161211</v>
      </c>
      <c r="H48" s="212">
        <f t="shared" si="6"/>
        <v>3.0200388007292561E-2</v>
      </c>
      <c r="I48" s="96">
        <f t="shared" si="12"/>
        <v>27587</v>
      </c>
      <c r="J48" s="246">
        <f t="shared" si="10"/>
        <v>1000</v>
      </c>
      <c r="K48" s="167">
        <f t="shared" si="1"/>
        <v>26587</v>
      </c>
      <c r="L48" s="141">
        <f t="shared" si="13"/>
        <v>5864</v>
      </c>
      <c r="M48" s="99">
        <f t="shared" si="2"/>
        <v>-90</v>
      </c>
      <c r="N48" s="217">
        <f t="shared" si="14"/>
        <v>-3.3736926940810437E-3</v>
      </c>
      <c r="O48" s="95"/>
      <c r="P48" s="236">
        <v>27217</v>
      </c>
      <c r="Q48" s="246">
        <v>540</v>
      </c>
      <c r="R48" s="237">
        <v>26677</v>
      </c>
      <c r="S48" s="299">
        <v>6748</v>
      </c>
      <c r="U48" s="216"/>
      <c r="V48" s="97"/>
      <c r="W48" s="98"/>
    </row>
    <row r="49" spans="1:23" s="93" customFormat="1">
      <c r="A49" s="146">
        <v>41</v>
      </c>
      <c r="B49" s="93" t="s">
        <v>178</v>
      </c>
      <c r="C49" s="272">
        <v>95572</v>
      </c>
      <c r="D49" s="210">
        <f t="shared" si="3"/>
        <v>6.5309837682106214E-2</v>
      </c>
      <c r="E49" s="260">
        <v>272104</v>
      </c>
      <c r="F49" s="210">
        <f t="shared" si="4"/>
        <v>7.0226168296177158E-2</v>
      </c>
      <c r="G49" s="211">
        <f t="shared" si="5"/>
        <v>367676</v>
      </c>
      <c r="H49" s="212">
        <f t="shared" si="6"/>
        <v>6.8878413141592681E-2</v>
      </c>
      <c r="I49" s="96">
        <f t="shared" si="12"/>
        <v>62919</v>
      </c>
      <c r="J49" s="246">
        <f t="shared" si="10"/>
        <v>1000</v>
      </c>
      <c r="K49" s="167">
        <f t="shared" si="1"/>
        <v>61919</v>
      </c>
      <c r="L49" s="141">
        <f t="shared" si="13"/>
        <v>13374</v>
      </c>
      <c r="M49" s="99">
        <f t="shared" si="2"/>
        <v>10243</v>
      </c>
      <c r="N49" s="217">
        <f t="shared" si="14"/>
        <v>0.19821580617694867</v>
      </c>
      <c r="O49" s="95"/>
      <c r="P49" s="236">
        <v>52216</v>
      </c>
      <c r="Q49" s="246">
        <v>540</v>
      </c>
      <c r="R49" s="237">
        <v>51676</v>
      </c>
      <c r="S49" s="299">
        <v>12947</v>
      </c>
      <c r="U49" s="216"/>
      <c r="V49" s="97"/>
      <c r="W49" s="98"/>
    </row>
    <row r="50" spans="1:23" s="93" customFormat="1">
      <c r="A50" s="146">
        <v>42</v>
      </c>
      <c r="B50" s="93" t="s">
        <v>231</v>
      </c>
      <c r="C50" s="272">
        <v>27027</v>
      </c>
      <c r="D50" s="210">
        <f t="shared" si="3"/>
        <v>1.8469101651469935E-2</v>
      </c>
      <c r="E50" s="260">
        <v>75837</v>
      </c>
      <c r="F50" s="210">
        <f t="shared" si="4"/>
        <v>1.9572449964268025E-2</v>
      </c>
      <c r="G50" s="211">
        <f t="shared" si="5"/>
        <v>102864</v>
      </c>
      <c r="H50" s="212">
        <f t="shared" si="6"/>
        <v>1.9269979790350174E-2</v>
      </c>
      <c r="I50" s="96">
        <f t="shared" si="12"/>
        <v>17603</v>
      </c>
      <c r="J50" s="246">
        <f t="shared" si="10"/>
        <v>1000</v>
      </c>
      <c r="K50" s="167">
        <f t="shared" si="1"/>
        <v>16603</v>
      </c>
      <c r="L50" s="141">
        <f t="shared" si="13"/>
        <v>3742</v>
      </c>
      <c r="M50" s="99">
        <f t="shared" si="2"/>
        <v>3021</v>
      </c>
      <c r="N50" s="217">
        <f t="shared" si="14"/>
        <v>0.22242674127521719</v>
      </c>
      <c r="O50" s="95"/>
      <c r="P50" s="236">
        <v>14122</v>
      </c>
      <c r="Q50" s="246">
        <v>540</v>
      </c>
      <c r="R50" s="237">
        <v>13582</v>
      </c>
      <c r="S50" s="299">
        <v>3501</v>
      </c>
      <c r="U50" s="216"/>
      <c r="V50" s="97"/>
      <c r="W50" s="98"/>
    </row>
    <row r="51" spans="1:23" s="93" customFormat="1">
      <c r="A51" s="146">
        <v>43</v>
      </c>
      <c r="B51" s="154" t="s">
        <v>232</v>
      </c>
      <c r="C51" s="272">
        <v>7816</v>
      </c>
      <c r="D51" s="210">
        <f t="shared" si="3"/>
        <v>5.3411217859136795E-3</v>
      </c>
      <c r="E51" s="260">
        <v>9823</v>
      </c>
      <c r="F51" s="210">
        <f t="shared" si="4"/>
        <v>2.5351764442027615E-3</v>
      </c>
      <c r="G51" s="211">
        <f t="shared" si="5"/>
        <v>17639</v>
      </c>
      <c r="H51" s="212">
        <f t="shared" si="6"/>
        <v>3.3043938940930423E-3</v>
      </c>
      <c r="I51" s="96">
        <f t="shared" si="12"/>
        <v>3018</v>
      </c>
      <c r="J51" s="246">
        <f t="shared" si="10"/>
        <v>1000</v>
      </c>
      <c r="K51" s="167">
        <f>I51-J51</f>
        <v>2018</v>
      </c>
      <c r="L51" s="141">
        <f t="shared" si="13"/>
        <v>642</v>
      </c>
      <c r="M51" s="99">
        <f>K51-R51</f>
        <v>427</v>
      </c>
      <c r="N51" s="217">
        <f t="shared" si="14"/>
        <v>0.26838466373350095</v>
      </c>
      <c r="O51" s="95"/>
      <c r="P51" s="236">
        <v>2131</v>
      </c>
      <c r="Q51" s="246">
        <v>540</v>
      </c>
      <c r="R51" s="237">
        <v>1591</v>
      </c>
      <c r="S51" s="299">
        <v>528</v>
      </c>
      <c r="U51" s="216"/>
      <c r="V51" s="97"/>
      <c r="W51" s="98"/>
    </row>
    <row r="52" spans="1:23" s="93" customFormat="1">
      <c r="A52" s="146">
        <v>44</v>
      </c>
      <c r="B52" s="93" t="s">
        <v>233</v>
      </c>
      <c r="C52" s="272">
        <v>22647</v>
      </c>
      <c r="D52" s="210">
        <f t="shared" si="3"/>
        <v>1.5475996044727111E-2</v>
      </c>
      <c r="E52" s="260">
        <v>45925</v>
      </c>
      <c r="F52" s="210">
        <f t="shared" si="4"/>
        <v>1.1852588638909888E-2</v>
      </c>
      <c r="G52" s="211">
        <f t="shared" si="5"/>
        <v>68572</v>
      </c>
      <c r="H52" s="212">
        <f t="shared" si="6"/>
        <v>1.2845903855419701E-2</v>
      </c>
      <c r="I52" s="96">
        <f t="shared" si="12"/>
        <v>11734</v>
      </c>
      <c r="J52" s="246">
        <f t="shared" si="10"/>
        <v>1000</v>
      </c>
      <c r="K52" s="167">
        <f t="shared" si="1"/>
        <v>10734</v>
      </c>
      <c r="L52" s="141">
        <f t="shared" si="13"/>
        <v>2494</v>
      </c>
      <c r="M52" s="99">
        <f t="shared" si="2"/>
        <v>1376</v>
      </c>
      <c r="N52" s="217">
        <f t="shared" si="14"/>
        <v>0.14703996580465911</v>
      </c>
      <c r="O52" s="95"/>
      <c r="P52" s="236">
        <v>9898</v>
      </c>
      <c r="Q52" s="246">
        <v>540</v>
      </c>
      <c r="R52" s="237">
        <v>9358</v>
      </c>
      <c r="S52" s="299">
        <v>2454</v>
      </c>
      <c r="U52" s="216"/>
      <c r="V52" s="97"/>
      <c r="W52" s="98"/>
    </row>
    <row r="53" spans="1:23" s="93" customFormat="1">
      <c r="A53" s="146">
        <v>45</v>
      </c>
      <c r="B53" s="93" t="s">
        <v>234</v>
      </c>
      <c r="C53" s="272">
        <v>14255</v>
      </c>
      <c r="D53" s="210">
        <f t="shared" si="3"/>
        <v>9.7412603708034173E-3</v>
      </c>
      <c r="E53" s="260">
        <v>30049</v>
      </c>
      <c r="F53" s="210">
        <f t="shared" si="4"/>
        <v>7.7552190748089974E-3</v>
      </c>
      <c r="G53" s="211">
        <f t="shared" si="5"/>
        <v>44304</v>
      </c>
      <c r="H53" s="212">
        <f t="shared" si="6"/>
        <v>8.2996693170756929E-3</v>
      </c>
      <c r="I53" s="96">
        <f t="shared" si="12"/>
        <v>7582</v>
      </c>
      <c r="J53" s="246">
        <f t="shared" si="10"/>
        <v>1000</v>
      </c>
      <c r="K53" s="167">
        <f t="shared" si="1"/>
        <v>6582</v>
      </c>
      <c r="L53" s="141">
        <f t="shared" si="13"/>
        <v>1612</v>
      </c>
      <c r="M53" s="99">
        <f t="shared" si="2"/>
        <v>738</v>
      </c>
      <c r="N53" s="217">
        <f t="shared" si="14"/>
        <v>0.12628336755646818</v>
      </c>
      <c r="O53" s="95"/>
      <c r="P53" s="236">
        <v>6384</v>
      </c>
      <c r="Q53" s="246">
        <v>540</v>
      </c>
      <c r="R53" s="237">
        <v>5844</v>
      </c>
      <c r="S53" s="299">
        <v>1583</v>
      </c>
      <c r="U53" s="216"/>
      <c r="V53" s="97"/>
      <c r="W53" s="98"/>
    </row>
    <row r="54" spans="1:23" s="93" customFormat="1">
      <c r="A54" s="146">
        <v>46</v>
      </c>
      <c r="B54" s="93" t="s">
        <v>180</v>
      </c>
      <c r="C54" s="272">
        <v>22760</v>
      </c>
      <c r="D54" s="210">
        <f t="shared" si="3"/>
        <v>1.5553215435951298E-2</v>
      </c>
      <c r="E54" s="260">
        <v>56152</v>
      </c>
      <c r="F54" s="210">
        <f t="shared" si="4"/>
        <v>1.4492031731128317E-2</v>
      </c>
      <c r="G54" s="211">
        <f t="shared" si="5"/>
        <v>78912</v>
      </c>
      <c r="H54" s="212">
        <f t="shared" si="6"/>
        <v>1.4782942965625611E-2</v>
      </c>
      <c r="I54" s="96">
        <f t="shared" si="12"/>
        <v>13504</v>
      </c>
      <c r="J54" s="246">
        <f t="shared" si="10"/>
        <v>1000</v>
      </c>
      <c r="K54" s="167">
        <f t="shared" si="1"/>
        <v>12504</v>
      </c>
      <c r="L54" s="141">
        <f t="shared" si="13"/>
        <v>2870</v>
      </c>
      <c r="M54" s="99">
        <f t="shared" si="2"/>
        <v>2311</v>
      </c>
      <c r="N54" s="217">
        <f t="shared" si="14"/>
        <v>0.22672422250564112</v>
      </c>
      <c r="O54" s="95"/>
      <c r="P54" s="236">
        <v>10733</v>
      </c>
      <c r="Q54" s="246">
        <v>540</v>
      </c>
      <c r="R54" s="237">
        <v>10193</v>
      </c>
      <c r="S54" s="299">
        <v>2661</v>
      </c>
      <c r="U54" s="216"/>
      <c r="V54" s="97"/>
      <c r="W54" s="98"/>
    </row>
    <row r="55" spans="1:23" s="93" customFormat="1">
      <c r="A55" s="146">
        <v>47</v>
      </c>
      <c r="B55" s="154" t="s">
        <v>235</v>
      </c>
      <c r="C55" s="272">
        <v>17809</v>
      </c>
      <c r="D55" s="210">
        <f t="shared" si="3"/>
        <v>1.2169912728420768E-2</v>
      </c>
      <c r="E55" s="260">
        <v>33850</v>
      </c>
      <c r="F55" s="210">
        <f t="shared" si="4"/>
        <v>8.7362030577484966E-3</v>
      </c>
      <c r="G55" s="211">
        <f t="shared" si="5"/>
        <v>51659</v>
      </c>
      <c r="H55" s="212">
        <f t="shared" si="6"/>
        <v>9.6775148350219664E-3</v>
      </c>
      <c r="I55" s="96">
        <f t="shared" si="12"/>
        <v>8840</v>
      </c>
      <c r="J55" s="246">
        <f t="shared" si="10"/>
        <v>1000</v>
      </c>
      <c r="K55" s="167">
        <f t="shared" si="1"/>
        <v>7840</v>
      </c>
      <c r="L55" s="141">
        <f t="shared" si="13"/>
        <v>1879</v>
      </c>
      <c r="M55" s="99">
        <f t="shared" si="2"/>
        <v>-207</v>
      </c>
      <c r="N55" s="217">
        <f t="shared" si="14"/>
        <v>-2.5723872250528149E-2</v>
      </c>
      <c r="O55" s="95"/>
      <c r="P55" s="236">
        <v>8587</v>
      </c>
      <c r="Q55" s="246">
        <v>540</v>
      </c>
      <c r="R55" s="237">
        <v>8047</v>
      </c>
      <c r="S55" s="299">
        <v>2129</v>
      </c>
      <c r="U55" s="216"/>
      <c r="V55" s="97"/>
      <c r="W55" s="98"/>
    </row>
    <row r="56" spans="1:23" s="93" customFormat="1">
      <c r="A56" s="146">
        <v>48</v>
      </c>
      <c r="B56" s="154" t="s">
        <v>236</v>
      </c>
      <c r="C56" s="272">
        <v>12654</v>
      </c>
      <c r="D56" s="210">
        <f t="shared" si="3"/>
        <v>8.6472051022200239E-3</v>
      </c>
      <c r="E56" s="260">
        <v>23098</v>
      </c>
      <c r="F56" s="210">
        <f t="shared" si="4"/>
        <v>5.9612649402621789E-3</v>
      </c>
      <c r="G56" s="211">
        <f t="shared" si="5"/>
        <v>35752</v>
      </c>
      <c r="H56" s="212">
        <f t="shared" si="6"/>
        <v>6.6975843586152533E-3</v>
      </c>
      <c r="I56" s="96">
        <f t="shared" si="12"/>
        <v>6118</v>
      </c>
      <c r="J56" s="246">
        <f t="shared" si="10"/>
        <v>1000</v>
      </c>
      <c r="K56" s="167">
        <f t="shared" si="1"/>
        <v>5118</v>
      </c>
      <c r="L56" s="141">
        <f t="shared" si="13"/>
        <v>1300</v>
      </c>
      <c r="M56" s="99">
        <f t="shared" si="2"/>
        <v>622</v>
      </c>
      <c r="N56" s="217">
        <f t="shared" si="14"/>
        <v>0.13834519572953738</v>
      </c>
      <c r="O56" s="95"/>
      <c r="P56" s="236">
        <v>5036</v>
      </c>
      <c r="Q56" s="246">
        <v>540</v>
      </c>
      <c r="R56" s="237">
        <v>4496</v>
      </c>
      <c r="S56" s="299">
        <v>1249</v>
      </c>
      <c r="U56" s="216"/>
      <c r="V56" s="97"/>
      <c r="W56" s="98"/>
    </row>
    <row r="57" spans="1:23" s="93" customFormat="1" ht="15" customHeight="1" thickBot="1">
      <c r="A57" s="146">
        <v>49</v>
      </c>
      <c r="B57" s="93" t="s">
        <v>181</v>
      </c>
      <c r="C57" s="272">
        <v>15442</v>
      </c>
      <c r="D57" s="210">
        <f t="shared" si="3"/>
        <v>1.0552405657379612E-2</v>
      </c>
      <c r="E57" s="260">
        <v>26719</v>
      </c>
      <c r="F57" s="210">
        <f t="shared" si="4"/>
        <v>6.895793485966974E-3</v>
      </c>
      <c r="G57" s="211">
        <f t="shared" si="5"/>
        <v>42161</v>
      </c>
      <c r="H57" s="212">
        <f t="shared" si="6"/>
        <v>7.8982114047767317E-3</v>
      </c>
      <c r="I57" s="96">
        <f t="shared" si="12"/>
        <v>7215</v>
      </c>
      <c r="J57" s="246">
        <f t="shared" si="10"/>
        <v>1000</v>
      </c>
      <c r="K57" s="167">
        <f t="shared" si="1"/>
        <v>6215</v>
      </c>
      <c r="L57" s="141">
        <f t="shared" si="13"/>
        <v>1534</v>
      </c>
      <c r="M57" s="99">
        <f t="shared" si="2"/>
        <v>797</v>
      </c>
      <c r="N57" s="217">
        <f t="shared" si="14"/>
        <v>0.14710225175341454</v>
      </c>
      <c r="O57" s="95"/>
      <c r="P57" s="236">
        <v>5958</v>
      </c>
      <c r="Q57" s="246">
        <v>540</v>
      </c>
      <c r="R57" s="237">
        <v>5418</v>
      </c>
      <c r="S57" s="299">
        <v>1477</v>
      </c>
      <c r="U57" s="216"/>
      <c r="V57" s="97"/>
      <c r="W57" s="98"/>
    </row>
    <row r="58" spans="1:23" s="89" customFormat="1" ht="19.5" customHeight="1" thickBot="1">
      <c r="B58" s="100" t="s">
        <v>237</v>
      </c>
      <c r="C58" s="101">
        <f t="shared" ref="C58:H58" si="15">SUM(C9:C57)</f>
        <v>1463363</v>
      </c>
      <c r="D58" s="102">
        <f t="shared" si="15"/>
        <v>1.0000000000000002</v>
      </c>
      <c r="E58" s="101">
        <f t="shared" si="15"/>
        <v>3874681</v>
      </c>
      <c r="F58" s="102">
        <f t="shared" si="15"/>
        <v>1</v>
      </c>
      <c r="G58" s="101">
        <f t="shared" si="15"/>
        <v>5338044</v>
      </c>
      <c r="H58" s="102">
        <f t="shared" si="15"/>
        <v>1.0000000000000002</v>
      </c>
      <c r="I58" s="103">
        <f t="shared" ref="I58:M58" si="16">SUM(I9:I57)</f>
        <v>913475</v>
      </c>
      <c r="J58" s="104">
        <f t="shared" si="16"/>
        <v>49000</v>
      </c>
      <c r="K58" s="168">
        <f t="shared" si="16"/>
        <v>864475</v>
      </c>
      <c r="L58" s="143">
        <f t="shared" si="16"/>
        <v>194166</v>
      </c>
      <c r="M58" s="104">
        <f t="shared" si="16"/>
        <v>132735</v>
      </c>
      <c r="N58" s="105">
        <f t="shared" si="14"/>
        <v>0.18139639762757265</v>
      </c>
      <c r="P58" s="186">
        <f>SUM(P9:P57)</f>
        <v>758200</v>
      </c>
      <c r="Q58" s="106">
        <f>SUM(Q9:Q57)</f>
        <v>26460</v>
      </c>
      <c r="R58" s="106">
        <f>SUM(R9:R57)</f>
        <v>731740</v>
      </c>
      <c r="S58" s="187">
        <f>SUM(S9:S57)</f>
        <v>187994</v>
      </c>
    </row>
    <row r="59" spans="1:23">
      <c r="I59" s="107"/>
      <c r="J59" s="108"/>
      <c r="K59" s="108"/>
      <c r="L59" s="108"/>
      <c r="M59" s="108"/>
      <c r="N59" s="109"/>
      <c r="P59" s="110"/>
      <c r="Q59" s="111"/>
      <c r="R59" s="111"/>
      <c r="S59" s="112"/>
    </row>
    <row r="60" spans="1:23">
      <c r="C60" s="113"/>
      <c r="D60" s="113"/>
      <c r="E60" s="113"/>
      <c r="F60" s="113"/>
      <c r="G60" s="113"/>
      <c r="H60" s="114"/>
      <c r="I60" s="115"/>
      <c r="J60" s="111"/>
      <c r="K60" s="116"/>
      <c r="L60" s="116"/>
      <c r="M60" s="116"/>
      <c r="N60" s="112"/>
      <c r="P60" s="218"/>
      <c r="Q60" s="111"/>
      <c r="R60" s="219"/>
      <c r="S60" s="112"/>
    </row>
    <row r="61" spans="1:23" ht="13.5" thickBot="1">
      <c r="C61" s="117"/>
      <c r="D61" s="117"/>
      <c r="E61" s="117"/>
      <c r="F61" s="117"/>
      <c r="G61" s="117"/>
      <c r="H61" s="118"/>
      <c r="I61" s="119"/>
      <c r="J61" s="120"/>
      <c r="K61" s="121"/>
      <c r="L61" s="121"/>
      <c r="M61" s="121"/>
      <c r="N61" s="122"/>
      <c r="P61" s="123"/>
      <c r="Q61" s="124"/>
      <c r="R61" s="185"/>
      <c r="S61" s="122"/>
    </row>
    <row r="62" spans="1:23">
      <c r="I62" s="111"/>
      <c r="J62" s="111"/>
      <c r="K62" s="111"/>
      <c r="L62" s="111"/>
      <c r="M62" s="111"/>
      <c r="N62" s="111"/>
    </row>
    <row r="63" spans="1:23">
      <c r="G63" s="125"/>
    </row>
  </sheetData>
  <mergeCells count="3">
    <mergeCell ref="P7:R7"/>
    <mergeCell ref="I6:N6"/>
    <mergeCell ref="I7:N7"/>
  </mergeCells>
  <phoneticPr fontId="9" type="noConversion"/>
  <printOptions horizontalCentered="1" gridLines="1"/>
  <pageMargins left="0.19" right="0.24" top="0.52" bottom="0.41" header="0.23" footer="0.17"/>
  <pageSetup scale="71" orientation="landscape" r:id="rId1"/>
  <headerFooter>
    <oddHeader>&amp;C2021 Recommended MORE Budget&amp;R&amp;D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T30"/>
  <sheetViews>
    <sheetView zoomScale="85" zoomScaleNormal="85" zoomScalePageLayoutView="85" workbookViewId="0"/>
  </sheetViews>
  <sheetFormatPr defaultColWidth="8.75" defaultRowHeight="14.25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3" width="9" customWidth="1"/>
    <col min="14" max="14" width="9" style="254" customWidth="1"/>
    <col min="15" max="15" width="9.375" customWidth="1"/>
    <col min="16" max="17" width="11" customWidth="1"/>
    <col min="18" max="20" width="0" hidden="1" customWidth="1"/>
  </cols>
  <sheetData>
    <row r="1" spans="1:20">
      <c r="A1" s="28" t="s">
        <v>238</v>
      </c>
      <c r="B1" s="22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28" t="s">
        <v>239</v>
      </c>
      <c r="B2" s="22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>
      <c r="A3" s="30">
        <v>44008</v>
      </c>
      <c r="B3" s="22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>
      <c r="A4" s="31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15" thickBot="1">
      <c r="A5" s="29"/>
      <c r="B5" s="33"/>
      <c r="C5" s="318"/>
      <c r="D5" s="318"/>
      <c r="E5" s="318"/>
      <c r="F5" s="318"/>
      <c r="G5" s="189"/>
      <c r="H5" s="189"/>
      <c r="I5" s="318"/>
      <c r="J5" s="318"/>
      <c r="K5" s="34"/>
      <c r="L5" s="34"/>
      <c r="M5" s="34"/>
      <c r="N5" s="34"/>
      <c r="O5" s="29"/>
    </row>
    <row r="6" spans="1:20" ht="36" customHeight="1" thickBot="1">
      <c r="A6" s="29"/>
      <c r="B6" s="35" t="s">
        <v>240</v>
      </c>
      <c r="C6" s="36" t="s">
        <v>241</v>
      </c>
      <c r="D6" s="37">
        <v>2001</v>
      </c>
      <c r="E6" s="37">
        <v>2002</v>
      </c>
      <c r="F6" s="37">
        <v>2003</v>
      </c>
      <c r="G6" s="38" t="s">
        <v>242</v>
      </c>
      <c r="H6" s="38" t="s">
        <v>243</v>
      </c>
      <c r="I6" s="37">
        <v>2004</v>
      </c>
      <c r="J6" s="37" t="s">
        <v>244</v>
      </c>
      <c r="K6" s="39">
        <v>2011</v>
      </c>
      <c r="L6" s="39">
        <v>2012</v>
      </c>
      <c r="M6" s="39" t="s">
        <v>245</v>
      </c>
      <c r="N6" s="35" t="s">
        <v>359</v>
      </c>
      <c r="O6" s="40" t="s">
        <v>305</v>
      </c>
      <c r="P6" s="189"/>
      <c r="Q6" s="189"/>
      <c r="R6" s="189"/>
      <c r="S6" s="189"/>
      <c r="T6" s="41"/>
    </row>
    <row r="7" spans="1:20">
      <c r="A7" s="42" t="s">
        <v>246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9"/>
      <c r="P7" s="44"/>
      <c r="Q7" s="44"/>
      <c r="R7" s="44"/>
      <c r="S7" s="44"/>
      <c r="T7" s="44">
        <v>0</v>
      </c>
    </row>
    <row r="8" spans="1:20">
      <c r="A8" s="28" t="s">
        <v>247</v>
      </c>
      <c r="B8" s="43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>
        <v>24000</v>
      </c>
      <c r="N8" s="248"/>
      <c r="O8" s="46">
        <f>SUM(C8:N8)</f>
        <v>24000</v>
      </c>
      <c r="P8" s="221"/>
      <c r="Q8" s="221"/>
      <c r="R8" s="221"/>
      <c r="S8" s="221"/>
      <c r="T8" s="44"/>
    </row>
    <row r="9" spans="1:20">
      <c r="A9" s="29" t="s">
        <v>248</v>
      </c>
      <c r="B9" s="222">
        <v>54000</v>
      </c>
      <c r="C9" s="45">
        <f>$B$9/4</f>
        <v>13500</v>
      </c>
      <c r="D9" s="45">
        <f>$B$9/4</f>
        <v>13500</v>
      </c>
      <c r="E9" s="45">
        <f>$B$9/4</f>
        <v>13500</v>
      </c>
      <c r="F9" s="45">
        <v>13500</v>
      </c>
      <c r="G9" s="45">
        <v>-18507</v>
      </c>
      <c r="H9" s="45">
        <v>18507</v>
      </c>
      <c r="I9" s="29"/>
      <c r="J9" s="223">
        <v>11000</v>
      </c>
      <c r="K9" s="136"/>
      <c r="L9" s="136"/>
      <c r="M9" s="136">
        <v>-65000</v>
      </c>
      <c r="N9" s="241"/>
      <c r="O9" s="46">
        <f>SUM(C9:N9)</f>
        <v>0</v>
      </c>
      <c r="P9" s="47"/>
      <c r="Q9" s="44"/>
      <c r="R9" s="44"/>
      <c r="S9" s="44"/>
      <c r="T9" s="47"/>
    </row>
    <row r="10" spans="1:20">
      <c r="A10" s="29" t="s">
        <v>249</v>
      </c>
      <c r="B10" s="222">
        <v>28000</v>
      </c>
      <c r="C10" s="45">
        <f>$B$10/4</f>
        <v>7000</v>
      </c>
      <c r="D10" s="45">
        <f>$B$10/4</f>
        <v>7000</v>
      </c>
      <c r="E10" s="45">
        <f>$B$10/4</f>
        <v>7000</v>
      </c>
      <c r="F10" s="45">
        <f>$B$10/4</f>
        <v>7000</v>
      </c>
      <c r="G10" s="45"/>
      <c r="H10" s="45"/>
      <c r="I10" s="29"/>
      <c r="J10" s="29">
        <v>-3000</v>
      </c>
      <c r="K10" s="136"/>
      <c r="L10" s="136"/>
      <c r="M10" s="136">
        <v>-25000</v>
      </c>
      <c r="N10" s="241"/>
      <c r="O10" s="46">
        <f>SUM(C10:N10)</f>
        <v>0</v>
      </c>
      <c r="P10" s="47"/>
      <c r="Q10" s="44"/>
      <c r="R10" s="44"/>
      <c r="S10" s="44"/>
      <c r="T10" s="47"/>
    </row>
    <row r="11" spans="1:20">
      <c r="A11" s="29"/>
      <c r="B11" s="33"/>
      <c r="C11" s="47"/>
      <c r="D11" s="29"/>
      <c r="E11" s="29"/>
      <c r="F11" s="29"/>
      <c r="G11" s="29"/>
      <c r="H11" s="29"/>
      <c r="I11" s="29"/>
      <c r="J11" s="29"/>
      <c r="K11" s="136"/>
      <c r="L11" s="136"/>
      <c r="M11" s="136"/>
      <c r="N11" s="241"/>
      <c r="O11" s="29"/>
      <c r="P11" s="44"/>
      <c r="Q11" s="44"/>
      <c r="R11" s="44"/>
      <c r="S11" s="44"/>
      <c r="T11" s="44"/>
    </row>
    <row r="12" spans="1:20">
      <c r="A12" s="29"/>
      <c r="B12" s="33"/>
      <c r="C12" s="47"/>
      <c r="D12" s="29"/>
      <c r="E12" s="29"/>
      <c r="F12" s="29"/>
      <c r="G12" s="29"/>
      <c r="H12" s="29"/>
      <c r="I12" s="29"/>
      <c r="J12" s="29"/>
      <c r="K12" s="136"/>
      <c r="L12" s="136"/>
      <c r="M12" s="136"/>
      <c r="N12" s="241"/>
      <c r="O12" s="29"/>
      <c r="P12" s="44"/>
      <c r="Q12" s="44"/>
      <c r="R12" s="44"/>
      <c r="S12" s="44"/>
      <c r="T12" s="44"/>
    </row>
    <row r="13" spans="1:20">
      <c r="A13" s="29"/>
      <c r="B13" s="33"/>
      <c r="C13" s="29"/>
      <c r="D13" s="29"/>
      <c r="E13" s="29"/>
      <c r="F13" s="29"/>
      <c r="G13" s="29"/>
      <c r="H13" s="29"/>
      <c r="I13" s="29"/>
      <c r="J13" s="29"/>
      <c r="K13" s="136"/>
      <c r="L13" s="136"/>
      <c r="M13" s="136"/>
      <c r="N13" s="241"/>
      <c r="O13" s="29"/>
      <c r="P13" s="44"/>
      <c r="Q13" s="44"/>
      <c r="R13" s="44"/>
      <c r="S13" s="44"/>
      <c r="T13" s="44"/>
    </row>
    <row r="14" spans="1:20">
      <c r="A14" s="28" t="s">
        <v>250</v>
      </c>
      <c r="B14" s="33"/>
      <c r="C14" s="29"/>
      <c r="D14" s="29"/>
      <c r="E14" s="29"/>
      <c r="F14" s="29"/>
      <c r="G14" s="29"/>
      <c r="H14" s="29"/>
      <c r="I14" s="29"/>
      <c r="J14" s="29"/>
      <c r="K14" s="136"/>
      <c r="L14" s="136"/>
      <c r="M14" s="136"/>
      <c r="N14" s="241"/>
      <c r="O14" s="29"/>
      <c r="P14" s="44"/>
      <c r="Q14" s="44"/>
      <c r="R14" s="44"/>
      <c r="S14" s="44"/>
      <c r="T14" s="44"/>
    </row>
    <row r="15" spans="1:20">
      <c r="A15" s="29" t="s">
        <v>251</v>
      </c>
      <c r="B15" s="222">
        <v>260000</v>
      </c>
      <c r="C15" s="136">
        <f>$B$15/10</f>
        <v>26000</v>
      </c>
      <c r="D15" s="136">
        <f>$B$15/10</f>
        <v>26000</v>
      </c>
      <c r="E15" s="136">
        <f>$B$15/10</f>
        <v>26000</v>
      </c>
      <c r="F15" s="136">
        <f>$B$15/10</f>
        <v>26000</v>
      </c>
      <c r="G15" s="136"/>
      <c r="H15" s="136"/>
      <c r="I15" s="136">
        <v>26000</v>
      </c>
      <c r="J15" s="29">
        <v>0</v>
      </c>
      <c r="K15" s="136">
        <v>-19683</v>
      </c>
      <c r="L15" s="136">
        <v>-85292</v>
      </c>
      <c r="M15" s="136">
        <v>94975</v>
      </c>
      <c r="N15" s="241"/>
      <c r="O15" s="46">
        <f>SUM(C15:N15)</f>
        <v>120000</v>
      </c>
      <c r="P15" s="219"/>
      <c r="Q15" s="44"/>
      <c r="R15" s="44"/>
      <c r="S15" s="44"/>
      <c r="T15" s="47"/>
    </row>
    <row r="16" spans="1:20">
      <c r="A16" s="29"/>
      <c r="B16" s="33"/>
      <c r="C16" s="29"/>
      <c r="D16" s="29"/>
      <c r="E16" s="29"/>
      <c r="F16" s="29"/>
      <c r="G16" s="29"/>
      <c r="H16" s="29"/>
      <c r="I16" s="29"/>
      <c r="J16" s="29"/>
      <c r="K16" s="136"/>
      <c r="L16" s="136"/>
      <c r="M16" s="136"/>
      <c r="N16" s="241"/>
      <c r="O16" s="29"/>
      <c r="P16" s="44"/>
      <c r="Q16" s="44"/>
      <c r="R16" s="44"/>
      <c r="S16" s="44"/>
      <c r="T16" s="44"/>
    </row>
    <row r="17" spans="1:20">
      <c r="A17" s="29"/>
      <c r="B17" s="33"/>
      <c r="C17" s="29"/>
      <c r="D17" s="29"/>
      <c r="E17" s="29"/>
      <c r="F17" s="29"/>
      <c r="G17" s="29"/>
      <c r="H17" s="29"/>
      <c r="I17" s="29"/>
      <c r="J17" s="29"/>
      <c r="K17" s="136"/>
      <c r="L17" s="136"/>
      <c r="M17" s="136"/>
      <c r="N17" s="241"/>
      <c r="O17" s="29"/>
      <c r="P17" s="44"/>
      <c r="Q17" s="44"/>
      <c r="R17" s="44"/>
      <c r="S17" s="44"/>
      <c r="T17" s="44"/>
    </row>
    <row r="18" spans="1:20">
      <c r="A18" s="29"/>
      <c r="B18" s="33"/>
      <c r="C18" s="29"/>
      <c r="D18" s="29"/>
      <c r="E18" s="29"/>
      <c r="F18" s="29"/>
      <c r="G18" s="29"/>
      <c r="H18" s="29"/>
      <c r="I18" s="29"/>
      <c r="J18" s="29"/>
      <c r="K18" s="136"/>
      <c r="L18" s="136"/>
      <c r="M18" s="136"/>
      <c r="N18" s="241"/>
      <c r="O18" s="29"/>
      <c r="P18" s="44"/>
      <c r="Q18" s="44"/>
      <c r="R18" s="44"/>
      <c r="S18" s="44"/>
      <c r="T18" s="44"/>
    </row>
    <row r="19" spans="1:20">
      <c r="A19" s="28" t="s">
        <v>252</v>
      </c>
      <c r="B19" s="33"/>
      <c r="C19" s="29"/>
      <c r="D19" s="29"/>
      <c r="E19" s="29"/>
      <c r="F19" s="29"/>
      <c r="G19" s="29"/>
      <c r="H19" s="29"/>
      <c r="I19" s="29"/>
      <c r="J19" s="29"/>
      <c r="K19" s="136"/>
      <c r="L19" s="136"/>
      <c r="M19" s="136"/>
      <c r="N19" s="241"/>
      <c r="O19" s="29"/>
      <c r="P19" s="44"/>
      <c r="Q19" s="44"/>
      <c r="R19" s="44"/>
      <c r="S19" s="44"/>
      <c r="T19" s="44"/>
    </row>
    <row r="20" spans="1:20">
      <c r="A20" s="29" t="s">
        <v>253</v>
      </c>
      <c r="B20" s="222">
        <v>30000</v>
      </c>
      <c r="C20" s="136">
        <f>$B$20/4</f>
        <v>7500</v>
      </c>
      <c r="D20" s="136">
        <f>$B$20/4</f>
        <v>7500</v>
      </c>
      <c r="E20" s="136">
        <f>$B$20/4</f>
        <v>7500</v>
      </c>
      <c r="F20" s="136">
        <v>7500</v>
      </c>
      <c r="G20" s="136">
        <v>-21000</v>
      </c>
      <c r="H20" s="136">
        <v>21000</v>
      </c>
      <c r="I20" s="29"/>
      <c r="J20" s="29">
        <v>-5000</v>
      </c>
      <c r="K20" s="136"/>
      <c r="L20" s="136"/>
      <c r="M20" s="136"/>
      <c r="N20" s="241"/>
      <c r="O20" s="46">
        <f>SUM(C20:N20)</f>
        <v>25000</v>
      </c>
      <c r="P20" s="219"/>
      <c r="Q20" s="44"/>
      <c r="R20" s="44"/>
      <c r="S20" s="44"/>
      <c r="T20" s="47"/>
    </row>
    <row r="21" spans="1:20">
      <c r="A21" s="29" t="s">
        <v>254</v>
      </c>
      <c r="B21" s="222">
        <v>30000</v>
      </c>
      <c r="C21" s="136">
        <f>$B$21/4</f>
        <v>7500</v>
      </c>
      <c r="D21" s="136">
        <f>$B$21/4</f>
        <v>7500</v>
      </c>
      <c r="E21" s="136">
        <f>$B$21/4</f>
        <v>7500</v>
      </c>
      <c r="F21" s="136">
        <f>$B$21/4</f>
        <v>7500</v>
      </c>
      <c r="G21" s="136"/>
      <c r="H21" s="136"/>
      <c r="I21" s="29"/>
      <c r="J21" s="29"/>
      <c r="K21" s="136"/>
      <c r="L21" s="136"/>
      <c r="O21" s="46">
        <f>SUM(C21:N21)</f>
        <v>30000</v>
      </c>
      <c r="P21" s="219"/>
      <c r="Q21" s="44"/>
      <c r="R21" s="44"/>
      <c r="S21" s="44"/>
      <c r="T21" s="47"/>
    </row>
    <row r="22" spans="1:20">
      <c r="A22" s="29"/>
      <c r="B22" s="33"/>
      <c r="C22" s="29"/>
      <c r="D22" s="29"/>
      <c r="E22" s="29"/>
      <c r="F22" s="29"/>
      <c r="G22" s="29"/>
      <c r="H22" s="29"/>
      <c r="I22" s="29"/>
      <c r="J22" s="29"/>
      <c r="K22" s="136"/>
      <c r="L22" s="136"/>
      <c r="M22" s="136"/>
      <c r="N22" s="241"/>
      <c r="O22" s="29"/>
      <c r="P22" s="44"/>
      <c r="Q22" s="44"/>
      <c r="R22" s="44"/>
      <c r="S22" s="44"/>
      <c r="T22" s="44"/>
    </row>
    <row r="23" spans="1:20">
      <c r="A23" s="29"/>
      <c r="B23" s="33"/>
      <c r="C23" s="29"/>
      <c r="D23" s="29"/>
      <c r="E23" s="29"/>
      <c r="F23" s="29"/>
      <c r="G23" s="29"/>
      <c r="H23" s="29"/>
      <c r="I23" s="29"/>
      <c r="J23" s="29"/>
      <c r="K23" s="136"/>
      <c r="L23" s="136"/>
      <c r="M23" s="136"/>
      <c r="N23" s="241"/>
      <c r="O23" s="29"/>
      <c r="P23" s="44"/>
      <c r="Q23" s="44"/>
      <c r="R23" s="44"/>
      <c r="S23" s="44"/>
      <c r="T23" s="44"/>
    </row>
    <row r="24" spans="1:20">
      <c r="A24" s="29"/>
      <c r="B24" s="33"/>
      <c r="C24" s="29"/>
      <c r="D24" s="29"/>
      <c r="E24" s="29"/>
      <c r="F24" s="29"/>
      <c r="G24" s="29"/>
      <c r="H24" s="29"/>
      <c r="I24" s="29"/>
      <c r="J24" s="29"/>
      <c r="K24" s="136"/>
      <c r="L24" s="136"/>
      <c r="M24" s="136"/>
      <c r="N24" s="241"/>
      <c r="O24" s="29"/>
      <c r="P24" s="44"/>
      <c r="Q24" s="44"/>
      <c r="R24" s="44"/>
      <c r="S24" s="44"/>
      <c r="T24" s="44"/>
    </row>
    <row r="25" spans="1:20">
      <c r="A25" s="28" t="s">
        <v>255</v>
      </c>
      <c r="B25" s="224">
        <v>0.1</v>
      </c>
      <c r="C25" s="48">
        <f>SUM(C9:C21)*0.1</f>
        <v>6150</v>
      </c>
      <c r="D25" s="48">
        <f>SUM(D9:D21)*0.1</f>
        <v>6150</v>
      </c>
      <c r="E25" s="48">
        <f>SUM(E9:E21)*0.1</f>
        <v>6150</v>
      </c>
      <c r="F25" s="48">
        <f>SUM(F9:F21)*0.1</f>
        <v>6150</v>
      </c>
      <c r="G25" s="48"/>
      <c r="H25" s="48"/>
      <c r="I25" s="29">
        <v>3400</v>
      </c>
      <c r="J25" s="29">
        <v>-3000</v>
      </c>
      <c r="K25" s="136"/>
      <c r="L25" s="136"/>
      <c r="M25" s="136"/>
      <c r="N25" s="241"/>
      <c r="O25" s="46">
        <f>SUM(C25:N25)</f>
        <v>25000</v>
      </c>
      <c r="P25" s="49"/>
      <c r="Q25" s="44"/>
      <c r="R25" s="44"/>
      <c r="S25" s="44"/>
      <c r="T25" s="49"/>
    </row>
    <row r="26" spans="1:20">
      <c r="A26" s="29"/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4"/>
      <c r="Q26" s="44"/>
      <c r="R26" s="44"/>
      <c r="S26" s="44"/>
      <c r="T26" s="44"/>
    </row>
    <row r="27" spans="1:20" ht="15" thickBot="1">
      <c r="A27" s="29"/>
      <c r="B27" s="3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</row>
    <row r="28" spans="1:20" ht="15" thickBot="1">
      <c r="A28" s="28" t="s">
        <v>256</v>
      </c>
      <c r="B28" s="33"/>
      <c r="C28" s="225">
        <f t="shared" ref="C28:K28" si="0">SUM(C9:C27)</f>
        <v>67650</v>
      </c>
      <c r="D28" s="225">
        <f t="shared" si="0"/>
        <v>67650</v>
      </c>
      <c r="E28" s="225">
        <f t="shared" si="0"/>
        <v>67650</v>
      </c>
      <c r="F28" s="225">
        <f t="shared" si="0"/>
        <v>67650</v>
      </c>
      <c r="G28" s="225">
        <f t="shared" si="0"/>
        <v>-39507</v>
      </c>
      <c r="H28" s="225">
        <f t="shared" si="0"/>
        <v>39507</v>
      </c>
      <c r="I28" s="225">
        <f t="shared" si="0"/>
        <v>29400</v>
      </c>
      <c r="J28" s="225">
        <f t="shared" si="0"/>
        <v>0</v>
      </c>
      <c r="K28" s="225">
        <f t="shared" si="0"/>
        <v>-19683</v>
      </c>
      <c r="L28" s="225">
        <f>SUM(L9:L27)</f>
        <v>-85292</v>
      </c>
      <c r="M28" s="225">
        <f>SUM(M8:M27)</f>
        <v>28975</v>
      </c>
      <c r="N28" s="249">
        <f>SUM(N8:N27)</f>
        <v>0</v>
      </c>
      <c r="O28" s="225">
        <f>SUM(O8:O27)</f>
        <v>224000</v>
      </c>
      <c r="P28" s="221"/>
      <c r="Q28" s="221"/>
      <c r="R28" s="221"/>
      <c r="S28" s="221"/>
      <c r="T28" s="221"/>
    </row>
    <row r="29" spans="1:20" ht="15" thickBot="1">
      <c r="P29" s="27"/>
      <c r="Q29" s="27"/>
      <c r="R29" s="27"/>
      <c r="S29" s="27"/>
      <c r="T29" s="27"/>
    </row>
    <row r="30" spans="1:20" ht="15" thickBot="1">
      <c r="A30" s="50" t="s">
        <v>257</v>
      </c>
      <c r="C30" s="51">
        <f>C28</f>
        <v>67650</v>
      </c>
      <c r="D30" s="51">
        <f t="shared" ref="D30:K30" si="1">C30+D28</f>
        <v>135300</v>
      </c>
      <c r="E30" s="51">
        <f t="shared" si="1"/>
        <v>202950</v>
      </c>
      <c r="F30" s="51">
        <f t="shared" si="1"/>
        <v>270600</v>
      </c>
      <c r="G30" s="51">
        <f t="shared" si="1"/>
        <v>231093</v>
      </c>
      <c r="H30" s="51">
        <f t="shared" si="1"/>
        <v>270600</v>
      </c>
      <c r="I30" s="51">
        <f t="shared" si="1"/>
        <v>300000</v>
      </c>
      <c r="J30" s="51">
        <f t="shared" si="1"/>
        <v>300000</v>
      </c>
      <c r="K30" s="51">
        <f t="shared" si="1"/>
        <v>280317</v>
      </c>
      <c r="L30" s="51">
        <f>K30+L28</f>
        <v>195025</v>
      </c>
      <c r="M30" s="51">
        <f>L30+M28</f>
        <v>224000</v>
      </c>
      <c r="N30" s="230">
        <f>M30+N28</f>
        <v>224000</v>
      </c>
      <c r="O30" s="51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&amp;C&amp;K0000002021 Recommended MORE Budget</oddHeader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860BAE2-2262-4C24-9CF2-332B2C49F7D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2021 Recommended budget</vt:lpstr>
      <vt:lpstr>Carryover</vt:lpstr>
      <vt:lpstr>2021 Cost to Libs</vt:lpstr>
      <vt:lpstr>MORE Approved Formula w'19 Data</vt:lpstr>
      <vt:lpstr>Reserves</vt:lpstr>
      <vt:lpstr>'2021 Recommended budget'!Print_Area</vt:lpstr>
      <vt:lpstr>Carryover!Print_Area</vt:lpstr>
      <vt:lpstr>'MORE Approved Formula w''19 Data'!Print_Area</vt:lpstr>
      <vt:lpstr>'2021 Cost to Libs'!Print_Titles</vt:lpstr>
      <vt:lpstr>'2021 Recommended budget'!Print_Titles</vt:lpstr>
      <vt:lpstr>'MORE Approved Formula w''19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roholt</cp:lastModifiedBy>
  <cp:lastPrinted>2020-05-06T16:20:13Z</cp:lastPrinted>
  <dcterms:created xsi:type="dcterms:W3CDTF">2001-03-30T14:44:35Z</dcterms:created>
  <dcterms:modified xsi:type="dcterms:W3CDTF">2020-06-26T19:10:14Z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