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roholt\Desktop\"/>
    </mc:Choice>
  </mc:AlternateContent>
  <bookViews>
    <workbookView xWindow="0" yWindow="0" windowWidth="24000" windowHeight="10095"/>
  </bookViews>
  <sheets>
    <sheet name="2019 Recommended Budget" sheetId="18" r:id="rId1"/>
    <sheet name="Carryover" sheetId="22" r:id="rId2"/>
    <sheet name="2019 Cost to Libs" sheetId="20" r:id="rId3"/>
    <sheet name="MORE Approved Formula w'17 Data" sheetId="21" r:id="rId4"/>
    <sheet name="Reserves" sheetId="19" r:id="rId5"/>
  </sheets>
  <definedNames>
    <definedName name="_xlnm.Print_Area" localSheetId="0">'2019 Recommended Budget'!$A$1:$I$53</definedName>
    <definedName name="_xlnm.Print_Area" localSheetId="1">Carryover!$A$1:$G$112</definedName>
    <definedName name="_xlnm.Print_Area" localSheetId="3">'MORE Approved Formula w''17 Data'!$A$1:$S$58</definedName>
    <definedName name="_xlnm.Print_Titles" localSheetId="2">'2019 Cost to Libs'!$9:$9</definedName>
    <definedName name="_xlnm.Print_Titles" localSheetId="0">'2019 Recommended Budget'!$5:$6</definedName>
    <definedName name="_xlnm.Print_Titles" localSheetId="3">'MORE Approved Formula w''17 Data'!$B:$B</definedName>
  </definedNames>
  <calcPr calcId="171027"/>
</workbook>
</file>

<file path=xl/calcChain.xml><?xml version="1.0" encoding="utf-8"?>
<calcChain xmlns="http://schemas.openxmlformats.org/spreadsheetml/2006/main">
  <c r="D5" i="21" l="1"/>
  <c r="F106" i="22"/>
  <c r="H41" i="18" l="1"/>
  <c r="C114" i="22"/>
  <c r="F46" i="18"/>
  <c r="F41" i="18"/>
  <c r="D48" i="18"/>
  <c r="F40" i="18"/>
  <c r="F39" i="18"/>
  <c r="F38" i="18"/>
  <c r="F37" i="18"/>
  <c r="F36" i="18"/>
  <c r="F34" i="18"/>
  <c r="F33" i="18"/>
  <c r="F32" i="18"/>
  <c r="F30" i="18"/>
  <c r="F29" i="18"/>
  <c r="F27" i="18"/>
  <c r="F26" i="18"/>
  <c r="F24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0" i="18"/>
  <c r="F9" i="18"/>
  <c r="F5" i="21" l="1"/>
  <c r="H48" i="18"/>
  <c r="C5" i="21" s="1"/>
  <c r="C58" i="21"/>
  <c r="D4" i="20" l="1"/>
  <c r="H17" i="18"/>
  <c r="C102" i="22" l="1"/>
  <c r="E7" i="20" l="1"/>
  <c r="D5" i="20" l="1"/>
  <c r="D41" i="18" l="1"/>
  <c r="G10" i="21" l="1"/>
  <c r="G11" i="21"/>
  <c r="G12" i="21"/>
  <c r="G13" i="21"/>
  <c r="G14" i="21"/>
  <c r="G15" i="21"/>
  <c r="G16" i="21"/>
  <c r="G17" i="21"/>
  <c r="G18" i="21"/>
  <c r="G19" i="21"/>
  <c r="G20" i="21"/>
  <c r="G21" i="21"/>
  <c r="G22" i="21"/>
  <c r="G23" i="21"/>
  <c r="G24" i="21"/>
  <c r="G25" i="21"/>
  <c r="G26" i="21"/>
  <c r="G27" i="21"/>
  <c r="G28" i="21"/>
  <c r="G29" i="21"/>
  <c r="G30" i="21"/>
  <c r="G31" i="21"/>
  <c r="G32" i="21"/>
  <c r="G33" i="21"/>
  <c r="G34" i="21"/>
  <c r="G35" i="21"/>
  <c r="G36" i="21"/>
  <c r="G37" i="21"/>
  <c r="G39" i="21"/>
  <c r="G40" i="21"/>
  <c r="G41" i="21"/>
  <c r="G42" i="21"/>
  <c r="G43" i="21"/>
  <c r="G44" i="21"/>
  <c r="G45" i="21"/>
  <c r="G46" i="21"/>
  <c r="G47" i="21"/>
  <c r="G48" i="21"/>
  <c r="G49" i="21"/>
  <c r="G50" i="21"/>
  <c r="G51" i="21"/>
  <c r="G52" i="21"/>
  <c r="G53" i="21"/>
  <c r="G54" i="21"/>
  <c r="G55" i="21"/>
  <c r="G56" i="21"/>
  <c r="G57" i="21"/>
  <c r="G9" i="21"/>
  <c r="G38" i="21"/>
  <c r="E48" i="18" l="1"/>
  <c r="C87" i="22" l="1"/>
  <c r="D92" i="20" l="1"/>
  <c r="F48" i="18" l="1"/>
  <c r="N28" i="19"/>
  <c r="C84" i="22" l="1"/>
  <c r="M28" i="19"/>
  <c r="O8" i="19"/>
  <c r="A3" i="19"/>
  <c r="C18" i="22"/>
  <c r="C26" i="22" s="1"/>
  <c r="C27" i="22"/>
  <c r="C36" i="22"/>
  <c r="C37" i="22"/>
  <c r="C42" i="22"/>
  <c r="C73" i="22"/>
  <c r="S58" i="21"/>
  <c r="R58" i="21"/>
  <c r="Q58" i="21"/>
  <c r="P58" i="21"/>
  <c r="L28" i="19"/>
  <c r="C9" i="19"/>
  <c r="C10" i="19"/>
  <c r="C15" i="19"/>
  <c r="C20" i="19"/>
  <c r="C21" i="19"/>
  <c r="D9" i="19"/>
  <c r="D10" i="19"/>
  <c r="D15" i="19"/>
  <c r="D20" i="19"/>
  <c r="D21" i="19"/>
  <c r="E9" i="19"/>
  <c r="E10" i="19"/>
  <c r="E15" i="19"/>
  <c r="E20" i="19"/>
  <c r="E21" i="19"/>
  <c r="F10" i="19"/>
  <c r="F15" i="19"/>
  <c r="F21" i="19"/>
  <c r="G28" i="19"/>
  <c r="H28" i="19"/>
  <c r="I28" i="19"/>
  <c r="J28" i="19"/>
  <c r="K28" i="19"/>
  <c r="G58" i="21"/>
  <c r="H13" i="20"/>
  <c r="E58" i="21"/>
  <c r="F10" i="21" l="1"/>
  <c r="F14" i="21"/>
  <c r="F18" i="21"/>
  <c r="F22" i="21"/>
  <c r="F26" i="21"/>
  <c r="F30" i="21"/>
  <c r="F34" i="21"/>
  <c r="F38" i="21"/>
  <c r="F42" i="21"/>
  <c r="F46" i="21"/>
  <c r="F50" i="21"/>
  <c r="F54" i="21"/>
  <c r="F9" i="21"/>
  <c r="F15" i="21"/>
  <c r="F27" i="21"/>
  <c r="F35" i="21"/>
  <c r="F47" i="21"/>
  <c r="F55" i="21"/>
  <c r="F16" i="21"/>
  <c r="F24" i="21"/>
  <c r="F28" i="21"/>
  <c r="F36" i="21"/>
  <c r="F44" i="21"/>
  <c r="F52" i="21"/>
  <c r="F13" i="21"/>
  <c r="F17" i="21"/>
  <c r="F21" i="21"/>
  <c r="F25" i="21"/>
  <c r="F29" i="21"/>
  <c r="F33" i="21"/>
  <c r="F37" i="21"/>
  <c r="F41" i="21"/>
  <c r="F45" i="21"/>
  <c r="F49" i="21"/>
  <c r="F53" i="21"/>
  <c r="F57" i="21"/>
  <c r="F11" i="21"/>
  <c r="F19" i="21"/>
  <c r="F23" i="21"/>
  <c r="F31" i="21"/>
  <c r="F39" i="21"/>
  <c r="F43" i="21"/>
  <c r="F51" i="21"/>
  <c r="F12" i="21"/>
  <c r="F20" i="21"/>
  <c r="F32" i="21"/>
  <c r="F40" i="21"/>
  <c r="F48" i="21"/>
  <c r="F56" i="21"/>
  <c r="D12" i="21"/>
  <c r="D16" i="21"/>
  <c r="D20" i="21"/>
  <c r="D24" i="21"/>
  <c r="D28" i="21"/>
  <c r="D32" i="21"/>
  <c r="D36" i="21"/>
  <c r="D40" i="21"/>
  <c r="D44" i="21"/>
  <c r="D48" i="21"/>
  <c r="D52" i="21"/>
  <c r="D56" i="21"/>
  <c r="D15" i="21"/>
  <c r="D27" i="21"/>
  <c r="D39" i="21"/>
  <c r="D51" i="21"/>
  <c r="D13" i="21"/>
  <c r="D17" i="21"/>
  <c r="D21" i="21"/>
  <c r="D25" i="21"/>
  <c r="D29" i="21"/>
  <c r="D33" i="21"/>
  <c r="D37" i="21"/>
  <c r="D41" i="21"/>
  <c r="D45" i="21"/>
  <c r="D49" i="21"/>
  <c r="D53" i="21"/>
  <c r="D57" i="21"/>
  <c r="D19" i="21"/>
  <c r="D31" i="21"/>
  <c r="D43" i="21"/>
  <c r="D55" i="21"/>
  <c r="D10" i="21"/>
  <c r="D14" i="21"/>
  <c r="D18" i="21"/>
  <c r="D22" i="21"/>
  <c r="D26" i="21"/>
  <c r="D30" i="21"/>
  <c r="D34" i="21"/>
  <c r="D38" i="21"/>
  <c r="D42" i="21"/>
  <c r="D46" i="21"/>
  <c r="D50" i="21"/>
  <c r="D54" i="21"/>
  <c r="D9" i="21"/>
  <c r="D11" i="21"/>
  <c r="D23" i="21"/>
  <c r="D35" i="21"/>
  <c r="D47" i="21"/>
  <c r="H54" i="21"/>
  <c r="D37" i="20" s="1"/>
  <c r="H57" i="21"/>
  <c r="D29" i="20" s="1"/>
  <c r="H29" i="20" s="1"/>
  <c r="H41" i="21"/>
  <c r="D60" i="20" s="1"/>
  <c r="H24" i="21"/>
  <c r="D31" i="20" s="1"/>
  <c r="H31" i="20" s="1"/>
  <c r="H50" i="21"/>
  <c r="D39" i="20" s="1"/>
  <c r="H56" i="21"/>
  <c r="D56" i="20" s="1"/>
  <c r="H56" i="20" s="1"/>
  <c r="H40" i="21"/>
  <c r="D22" i="20" s="1"/>
  <c r="H22" i="20" s="1"/>
  <c r="H23" i="21"/>
  <c r="D32" i="20" s="1"/>
  <c r="H32" i="20" s="1"/>
  <c r="H9" i="21"/>
  <c r="D10" i="20" s="1"/>
  <c r="H38" i="21"/>
  <c r="D35" i="20" s="1"/>
  <c r="H35" i="20" s="1"/>
  <c r="H43" i="21"/>
  <c r="D24" i="20" s="1"/>
  <c r="H24" i="20" s="1"/>
  <c r="H26" i="21"/>
  <c r="D14" i="20" s="1"/>
  <c r="H14" i="20" s="1"/>
  <c r="H10" i="21"/>
  <c r="D59" i="20" s="1"/>
  <c r="H59" i="20" s="1"/>
  <c r="H33" i="21"/>
  <c r="D17" i="20" s="1"/>
  <c r="H17" i="20" s="1"/>
  <c r="H18" i="21"/>
  <c r="D47" i="20" s="1"/>
  <c r="H47" i="20" s="1"/>
  <c r="H45" i="21"/>
  <c r="D49" i="20" s="1"/>
  <c r="H49" i="20" s="1"/>
  <c r="H17" i="21"/>
  <c r="D52" i="20" s="1"/>
  <c r="H21" i="21"/>
  <c r="D45" i="20" s="1"/>
  <c r="H45" i="20" s="1"/>
  <c r="H14" i="21"/>
  <c r="D51" i="20" s="1"/>
  <c r="H51" i="20" s="1"/>
  <c r="H42" i="21"/>
  <c r="D23" i="20" s="1"/>
  <c r="H23" i="20" s="1"/>
  <c r="H53" i="21"/>
  <c r="D41" i="20" s="1"/>
  <c r="H41" i="20" s="1"/>
  <c r="H36" i="21"/>
  <c r="D55" i="20" s="1"/>
  <c r="H55" i="20" s="1"/>
  <c r="H20" i="21"/>
  <c r="D33" i="20" s="1"/>
  <c r="H33" i="20" s="1"/>
  <c r="H37" i="21"/>
  <c r="D20" i="20" s="1"/>
  <c r="H20" i="20" s="1"/>
  <c r="H52" i="21"/>
  <c r="D28" i="20" s="1"/>
  <c r="H28" i="20" s="1"/>
  <c r="H35" i="21"/>
  <c r="D18" i="20" s="1"/>
  <c r="H18" i="20" s="1"/>
  <c r="H19" i="21"/>
  <c r="D53" i="20" s="1"/>
  <c r="H53" i="20" s="1"/>
  <c r="H46" i="21"/>
  <c r="D48" i="20" s="1"/>
  <c r="H48" i="20" s="1"/>
  <c r="H55" i="21"/>
  <c r="D50" i="20" s="1"/>
  <c r="H50" i="20" s="1"/>
  <c r="H39" i="21"/>
  <c r="D21" i="20" s="1"/>
  <c r="H21" i="20" s="1"/>
  <c r="H22" i="21"/>
  <c r="D38" i="20" s="1"/>
  <c r="H38" i="20" s="1"/>
  <c r="H15" i="21"/>
  <c r="D58" i="20" s="1"/>
  <c r="H58" i="20" s="1"/>
  <c r="H34" i="21"/>
  <c r="D43" i="20" s="1"/>
  <c r="H13" i="21"/>
  <c r="D12" i="20" s="1"/>
  <c r="H12" i="20" s="1"/>
  <c r="H12" i="21"/>
  <c r="D11" i="20" s="1"/>
  <c r="H11" i="20" s="1"/>
  <c r="H27" i="21"/>
  <c r="D15" i="20" s="1"/>
  <c r="H15" i="20" s="1"/>
  <c r="H47" i="21"/>
  <c r="D26" i="20" s="1"/>
  <c r="H26" i="20" s="1"/>
  <c r="H29" i="21"/>
  <c r="D16" i="20" s="1"/>
  <c r="H16" i="20" s="1"/>
  <c r="H49" i="21"/>
  <c r="D27" i="20" s="1"/>
  <c r="H27" i="20" s="1"/>
  <c r="H32" i="21"/>
  <c r="D34" i="20" s="1"/>
  <c r="H34" i="20" s="1"/>
  <c r="H16" i="21"/>
  <c r="D30" i="20" s="1"/>
  <c r="H25" i="21"/>
  <c r="D54" i="20" s="1"/>
  <c r="H54" i="20" s="1"/>
  <c r="H48" i="21"/>
  <c r="D44" i="20" s="1"/>
  <c r="H44" i="20" s="1"/>
  <c r="H31" i="21"/>
  <c r="D40" i="20" s="1"/>
  <c r="H40" i="20" s="1"/>
  <c r="H51" i="21"/>
  <c r="D57" i="20" s="1"/>
  <c r="H57" i="20" s="1"/>
  <c r="H28" i="21"/>
  <c r="D19" i="20" s="1"/>
  <c r="H19" i="20" s="1"/>
  <c r="H44" i="21"/>
  <c r="D36" i="20" s="1"/>
  <c r="H36" i="20" s="1"/>
  <c r="H11" i="21"/>
  <c r="D46" i="20" s="1"/>
  <c r="H46" i="20" s="1"/>
  <c r="H30" i="21"/>
  <c r="D42" i="20" s="1"/>
  <c r="H42" i="20" s="1"/>
  <c r="E18" i="22"/>
  <c r="F25" i="19"/>
  <c r="O10" i="19"/>
  <c r="O20" i="19"/>
  <c r="E25" i="19"/>
  <c r="E28" i="19" s="1"/>
  <c r="O15" i="19"/>
  <c r="F28" i="19"/>
  <c r="D25" i="19"/>
  <c r="D28" i="19" s="1"/>
  <c r="O21" i="19"/>
  <c r="O9" i="19"/>
  <c r="E5" i="21"/>
  <c r="H52" i="20"/>
  <c r="H25" i="20"/>
  <c r="H30" i="20"/>
  <c r="H37" i="20"/>
  <c r="H43" i="20"/>
  <c r="H39" i="20"/>
  <c r="C25" i="19"/>
  <c r="L9" i="21"/>
  <c r="L16" i="21"/>
  <c r="L52" i="21"/>
  <c r="I8" i="20"/>
  <c r="I57" i="20" s="1"/>
  <c r="E26" i="22"/>
  <c r="C41" i="22"/>
  <c r="L10" i="21"/>
  <c r="D58" i="21" l="1"/>
  <c r="L47" i="21"/>
  <c r="L51" i="21"/>
  <c r="L54" i="21"/>
  <c r="L17" i="21"/>
  <c r="L34" i="21"/>
  <c r="L30" i="21"/>
  <c r="L55" i="21"/>
  <c r="L50" i="21"/>
  <c r="L53" i="21"/>
  <c r="L37" i="21"/>
  <c r="L46" i="21"/>
  <c r="L32" i="21"/>
  <c r="L56" i="21"/>
  <c r="L23" i="21"/>
  <c r="L12" i="21"/>
  <c r="L15" i="21"/>
  <c r="L24" i="21"/>
  <c r="L42" i="21"/>
  <c r="L11" i="21"/>
  <c r="L45" i="21"/>
  <c r="L25" i="21"/>
  <c r="L29" i="21"/>
  <c r="L21" i="21"/>
  <c r="L28" i="21"/>
  <c r="L39" i="21"/>
  <c r="L36" i="21"/>
  <c r="L33" i="21"/>
  <c r="L57" i="21"/>
  <c r="L48" i="21"/>
  <c r="L13" i="21"/>
  <c r="L38" i="21"/>
  <c r="L20" i="21"/>
  <c r="L19" i="21"/>
  <c r="L22" i="21"/>
  <c r="L40" i="21"/>
  <c r="L49" i="21"/>
  <c r="L41" i="21"/>
  <c r="L44" i="21"/>
  <c r="L43" i="21"/>
  <c r="L14" i="21"/>
  <c r="I16" i="21"/>
  <c r="J16" i="21" s="1"/>
  <c r="K16" i="21" s="1"/>
  <c r="I9" i="21"/>
  <c r="O25" i="19"/>
  <c r="O28" i="19" s="1"/>
  <c r="C28" i="19"/>
  <c r="C30" i="19" s="1"/>
  <c r="D30" i="19" s="1"/>
  <c r="E30" i="19" s="1"/>
  <c r="F30" i="19" s="1"/>
  <c r="G30" i="19" s="1"/>
  <c r="H30" i="19" s="1"/>
  <c r="I30" i="19" s="1"/>
  <c r="J30" i="19" s="1"/>
  <c r="K30" i="19" s="1"/>
  <c r="L30" i="19" s="1"/>
  <c r="M30" i="19" s="1"/>
  <c r="N30" i="19" s="1"/>
  <c r="I28" i="21"/>
  <c r="J28" i="21" s="1"/>
  <c r="K28" i="21" s="1"/>
  <c r="I21" i="21"/>
  <c r="J21" i="21" s="1"/>
  <c r="K21" i="21" s="1"/>
  <c r="I42" i="21"/>
  <c r="J42" i="21" s="1"/>
  <c r="K42" i="21" s="1"/>
  <c r="I49" i="21"/>
  <c r="J49" i="21" s="1"/>
  <c r="K49" i="21" s="1"/>
  <c r="I27" i="21"/>
  <c r="J27" i="21" s="1"/>
  <c r="K27" i="21" s="1"/>
  <c r="I32" i="21"/>
  <c r="J32" i="21" s="1"/>
  <c r="K32" i="21" s="1"/>
  <c r="I47" i="21"/>
  <c r="J47" i="21" s="1"/>
  <c r="K47" i="21" s="1"/>
  <c r="I22" i="21"/>
  <c r="J22" i="21" s="1"/>
  <c r="K22" i="21" s="1"/>
  <c r="I35" i="21"/>
  <c r="J35" i="21" s="1"/>
  <c r="K35" i="21" s="1"/>
  <c r="I53" i="21"/>
  <c r="J53" i="21" s="1"/>
  <c r="K53" i="21" s="1"/>
  <c r="I55" i="21"/>
  <c r="J55" i="21" s="1"/>
  <c r="K55" i="21" s="1"/>
  <c r="I46" i="21"/>
  <c r="J46" i="21" s="1"/>
  <c r="K46" i="21" s="1"/>
  <c r="I57" i="21"/>
  <c r="J57" i="21" s="1"/>
  <c r="K57" i="21" s="1"/>
  <c r="I40" i="21"/>
  <c r="J40" i="21" s="1"/>
  <c r="K40" i="21" s="1"/>
  <c r="I31" i="21"/>
  <c r="J31" i="21" s="1"/>
  <c r="K31" i="21" s="1"/>
  <c r="I52" i="21"/>
  <c r="J52" i="21" s="1"/>
  <c r="K52" i="21" s="1"/>
  <c r="I10" i="21"/>
  <c r="J10" i="21" s="1"/>
  <c r="K10" i="21" s="1"/>
  <c r="I12" i="21"/>
  <c r="J12" i="21" s="1"/>
  <c r="K12" i="21" s="1"/>
  <c r="I29" i="21"/>
  <c r="J29" i="21" s="1"/>
  <c r="K29" i="21" s="1"/>
  <c r="I25" i="21"/>
  <c r="J25" i="21" s="1"/>
  <c r="K25" i="21" s="1"/>
  <c r="I51" i="21"/>
  <c r="J51" i="21" s="1"/>
  <c r="K51" i="21" s="1"/>
  <c r="I43" i="21"/>
  <c r="J43" i="21" s="1"/>
  <c r="K43" i="21" s="1"/>
  <c r="I20" i="21"/>
  <c r="J20" i="21" s="1"/>
  <c r="K20" i="21" s="1"/>
  <c r="I17" i="21"/>
  <c r="J17" i="21" s="1"/>
  <c r="K17" i="21" s="1"/>
  <c r="I37" i="21"/>
  <c r="J37" i="21" s="1"/>
  <c r="K37" i="21" s="1"/>
  <c r="I19" i="21"/>
  <c r="J19" i="21" s="1"/>
  <c r="K19" i="21" s="1"/>
  <c r="I13" i="21"/>
  <c r="J13" i="21" s="1"/>
  <c r="K13" i="21" s="1"/>
  <c r="I36" i="21"/>
  <c r="J36" i="21" s="1"/>
  <c r="K36" i="21" s="1"/>
  <c r="I14" i="21"/>
  <c r="J14" i="21" s="1"/>
  <c r="K14" i="21" s="1"/>
  <c r="J9" i="21"/>
  <c r="K9" i="21" s="1"/>
  <c r="I48" i="21"/>
  <c r="J48" i="21" s="1"/>
  <c r="K48" i="21" s="1"/>
  <c r="I45" i="21"/>
  <c r="J45" i="21" s="1"/>
  <c r="K45" i="21" s="1"/>
  <c r="I11" i="21"/>
  <c r="J11" i="21" s="1"/>
  <c r="K11" i="21" s="1"/>
  <c r="I38" i="21"/>
  <c r="J38" i="21" s="1"/>
  <c r="K38" i="21" s="1"/>
  <c r="I44" i="21"/>
  <c r="J44" i="21" s="1"/>
  <c r="K44" i="21" s="1"/>
  <c r="I39" i="21"/>
  <c r="J39" i="21" s="1"/>
  <c r="K39" i="21" s="1"/>
  <c r="I24" i="21"/>
  <c r="J24" i="21" s="1"/>
  <c r="K24" i="21" s="1"/>
  <c r="I54" i="21"/>
  <c r="J54" i="21" s="1"/>
  <c r="K54" i="21" s="1"/>
  <c r="I33" i="21"/>
  <c r="J33" i="21" s="1"/>
  <c r="K33" i="21" s="1"/>
  <c r="I18" i="21"/>
  <c r="J18" i="21" s="1"/>
  <c r="K18" i="21" s="1"/>
  <c r="I15" i="21"/>
  <c r="J15" i="21" s="1"/>
  <c r="K15" i="21" s="1"/>
  <c r="I30" i="21"/>
  <c r="J30" i="21" s="1"/>
  <c r="K30" i="21" s="1"/>
  <c r="D6" i="20"/>
  <c r="E18" i="20" s="1"/>
  <c r="F18" i="20" s="1"/>
  <c r="G18" i="20" s="1"/>
  <c r="F58" i="21"/>
  <c r="I56" i="21"/>
  <c r="J56" i="21" s="1"/>
  <c r="K56" i="21" s="1"/>
  <c r="I26" i="21"/>
  <c r="J26" i="21" s="1"/>
  <c r="K26" i="21" s="1"/>
  <c r="I41" i="21"/>
  <c r="J41" i="21" s="1"/>
  <c r="K41" i="21" s="1"/>
  <c r="I34" i="21"/>
  <c r="J34" i="21" s="1"/>
  <c r="K34" i="21" s="1"/>
  <c r="I50" i="21"/>
  <c r="J50" i="21" s="1"/>
  <c r="K50" i="21" s="1"/>
  <c r="I23" i="21"/>
  <c r="J23" i="21" s="1"/>
  <c r="K23" i="21" s="1"/>
  <c r="L35" i="21"/>
  <c r="L18" i="21"/>
  <c r="L31" i="21"/>
  <c r="L27" i="21"/>
  <c r="L26" i="21"/>
  <c r="H58" i="21"/>
  <c r="I18" i="20"/>
  <c r="I14" i="20"/>
  <c r="I16" i="20"/>
  <c r="I13" i="20"/>
  <c r="I47" i="20"/>
  <c r="I20" i="20"/>
  <c r="I32" i="20"/>
  <c r="I17" i="20"/>
  <c r="I42" i="20"/>
  <c r="I21" i="20"/>
  <c r="I58" i="20"/>
  <c r="I59" i="20"/>
  <c r="I45" i="20"/>
  <c r="I56" i="20"/>
  <c r="I19" i="20"/>
  <c r="I34" i="20"/>
  <c r="I44" i="20"/>
  <c r="I36" i="20"/>
  <c r="I10" i="20"/>
  <c r="I40" i="20"/>
  <c r="I29" i="20"/>
  <c r="I41" i="20"/>
  <c r="I55" i="20"/>
  <c r="I46" i="20"/>
  <c r="I24" i="20"/>
  <c r="I54" i="20"/>
  <c r="I31" i="20"/>
  <c r="I30" i="20"/>
  <c r="I49" i="20"/>
  <c r="I50" i="20"/>
  <c r="I33" i="20"/>
  <c r="I39" i="20"/>
  <c r="I53" i="20"/>
  <c r="I38" i="20"/>
  <c r="I25" i="20"/>
  <c r="I23" i="20"/>
  <c r="I15" i="20"/>
  <c r="I48" i="20"/>
  <c r="I37" i="20"/>
  <c r="I43" i="20"/>
  <c r="I35" i="20"/>
  <c r="I60" i="20"/>
  <c r="I26" i="20"/>
  <c r="I52" i="20"/>
  <c r="I12" i="20"/>
  <c r="I27" i="20"/>
  <c r="I51" i="20"/>
  <c r="I22" i="20"/>
  <c r="I11" i="20"/>
  <c r="I28" i="20"/>
  <c r="C52" i="22"/>
  <c r="E41" i="22"/>
  <c r="E22" i="20" l="1"/>
  <c r="F22" i="20" s="1"/>
  <c r="G22" i="20" s="1"/>
  <c r="J22" i="20" s="1"/>
  <c r="E24" i="20"/>
  <c r="F24" i="20" s="1"/>
  <c r="G24" i="20" s="1"/>
  <c r="J24" i="20" s="1"/>
  <c r="J8" i="20"/>
  <c r="E49" i="20"/>
  <c r="F49" i="20" s="1"/>
  <c r="G49" i="20" s="1"/>
  <c r="J49" i="20" s="1"/>
  <c r="E59" i="20"/>
  <c r="F59" i="20" s="1"/>
  <c r="G59" i="20" s="1"/>
  <c r="J59" i="20" s="1"/>
  <c r="E21" i="20"/>
  <c r="F21" i="20" s="1"/>
  <c r="G21" i="20" s="1"/>
  <c r="J21" i="20" s="1"/>
  <c r="I58" i="21"/>
  <c r="E50" i="20"/>
  <c r="F50" i="20" s="1"/>
  <c r="G50" i="20" s="1"/>
  <c r="J50" i="20" s="1"/>
  <c r="E55" i="20"/>
  <c r="F55" i="20" s="1"/>
  <c r="G55" i="20" s="1"/>
  <c r="J55" i="20" s="1"/>
  <c r="E42" i="20"/>
  <c r="F42" i="20" s="1"/>
  <c r="G42" i="20" s="1"/>
  <c r="J42" i="20" s="1"/>
  <c r="E37" i="20"/>
  <c r="F37" i="20" s="1"/>
  <c r="G37" i="20" s="1"/>
  <c r="J37" i="20" s="1"/>
  <c r="E10" i="20"/>
  <c r="F10" i="20" s="1"/>
  <c r="G10" i="20" s="1"/>
  <c r="J10" i="20" s="1"/>
  <c r="E36" i="20"/>
  <c r="F36" i="20" s="1"/>
  <c r="G36" i="20" s="1"/>
  <c r="J36" i="20" s="1"/>
  <c r="E43" i="20"/>
  <c r="F43" i="20" s="1"/>
  <c r="G43" i="20" s="1"/>
  <c r="J43" i="20" s="1"/>
  <c r="L58" i="21"/>
  <c r="E32" i="20"/>
  <c r="F32" i="20" s="1"/>
  <c r="G32" i="20" s="1"/>
  <c r="J32" i="20" s="1"/>
  <c r="E56" i="20"/>
  <c r="F56" i="20" s="1"/>
  <c r="G56" i="20" s="1"/>
  <c r="J56" i="20" s="1"/>
  <c r="E44" i="20"/>
  <c r="F44" i="20" s="1"/>
  <c r="G44" i="20" s="1"/>
  <c r="J44" i="20" s="1"/>
  <c r="E25" i="20"/>
  <c r="G25" i="20" s="1"/>
  <c r="J25" i="20" s="1"/>
  <c r="E41" i="20"/>
  <c r="F41" i="20" s="1"/>
  <c r="G41" i="20" s="1"/>
  <c r="J41" i="20" s="1"/>
  <c r="E20" i="20"/>
  <c r="F20" i="20" s="1"/>
  <c r="G20" i="20" s="1"/>
  <c r="J20" i="20" s="1"/>
  <c r="E51" i="20"/>
  <c r="F51" i="20" s="1"/>
  <c r="G51" i="20" s="1"/>
  <c r="J51" i="20" s="1"/>
  <c r="E13" i="20"/>
  <c r="G13" i="20" s="1"/>
  <c r="J13" i="20" s="1"/>
  <c r="E38" i="20"/>
  <c r="F38" i="20" s="1"/>
  <c r="G38" i="20" s="1"/>
  <c r="J38" i="20" s="1"/>
  <c r="E45" i="20"/>
  <c r="F45" i="20" s="1"/>
  <c r="G45" i="20" s="1"/>
  <c r="J45" i="20" s="1"/>
  <c r="E16" i="20"/>
  <c r="F16" i="20" s="1"/>
  <c r="G16" i="20" s="1"/>
  <c r="J16" i="20" s="1"/>
  <c r="E57" i="20"/>
  <c r="F57" i="20" s="1"/>
  <c r="G57" i="20" s="1"/>
  <c r="J57" i="20" s="1"/>
  <c r="E15" i="20"/>
  <c r="F15" i="20" s="1"/>
  <c r="G15" i="20" s="1"/>
  <c r="J15" i="20" s="1"/>
  <c r="E31" i="20"/>
  <c r="F31" i="20" s="1"/>
  <c r="G31" i="20" s="1"/>
  <c r="J31" i="20" s="1"/>
  <c r="E14" i="20"/>
  <c r="F14" i="20" s="1"/>
  <c r="G14" i="20" s="1"/>
  <c r="J14" i="20" s="1"/>
  <c r="E23" i="20"/>
  <c r="F23" i="20" s="1"/>
  <c r="G23" i="20" s="1"/>
  <c r="J23" i="20" s="1"/>
  <c r="E30" i="20"/>
  <c r="F30" i="20" s="1"/>
  <c r="G30" i="20" s="1"/>
  <c r="J30" i="20" s="1"/>
  <c r="E29" i="20"/>
  <c r="F29" i="20" s="1"/>
  <c r="G29" i="20" s="1"/>
  <c r="J29" i="20" s="1"/>
  <c r="E53" i="20"/>
  <c r="F53" i="20" s="1"/>
  <c r="G53" i="20" s="1"/>
  <c r="J53" i="20" s="1"/>
  <c r="E52" i="20"/>
  <c r="F52" i="20" s="1"/>
  <c r="G52" i="20" s="1"/>
  <c r="J52" i="20" s="1"/>
  <c r="E34" i="20"/>
  <c r="F34" i="20" s="1"/>
  <c r="G34" i="20" s="1"/>
  <c r="J34" i="20" s="1"/>
  <c r="E26" i="20"/>
  <c r="F26" i="20" s="1"/>
  <c r="G26" i="20" s="1"/>
  <c r="J26" i="20" s="1"/>
  <c r="E39" i="20"/>
  <c r="F39" i="20" s="1"/>
  <c r="G39" i="20" s="1"/>
  <c r="J39" i="20" s="1"/>
  <c r="E12" i="20"/>
  <c r="F12" i="20" s="1"/>
  <c r="G12" i="20" s="1"/>
  <c r="J12" i="20" s="1"/>
  <c r="E28" i="20"/>
  <c r="F28" i="20" s="1"/>
  <c r="G28" i="20" s="1"/>
  <c r="J28" i="20" s="1"/>
  <c r="E47" i="20"/>
  <c r="F47" i="20" s="1"/>
  <c r="G47" i="20" s="1"/>
  <c r="J47" i="20" s="1"/>
  <c r="E46" i="20"/>
  <c r="F46" i="20" s="1"/>
  <c r="G46" i="20" s="1"/>
  <c r="J46" i="20" s="1"/>
  <c r="E40" i="20"/>
  <c r="F40" i="20" s="1"/>
  <c r="G40" i="20" s="1"/>
  <c r="J40" i="20" s="1"/>
  <c r="E11" i="20"/>
  <c r="F11" i="20" s="1"/>
  <c r="G11" i="20" s="1"/>
  <c r="J11" i="20" s="1"/>
  <c r="E33" i="20"/>
  <c r="F33" i="20" s="1"/>
  <c r="G33" i="20" s="1"/>
  <c r="J33" i="20" s="1"/>
  <c r="E58" i="20"/>
  <c r="F58" i="20" s="1"/>
  <c r="G58" i="20" s="1"/>
  <c r="J58" i="20" s="1"/>
  <c r="E17" i="20"/>
  <c r="F17" i="20" s="1"/>
  <c r="G17" i="20" s="1"/>
  <c r="J17" i="20" s="1"/>
  <c r="E54" i="20"/>
  <c r="F54" i="20" s="1"/>
  <c r="G54" i="20" s="1"/>
  <c r="J54" i="20" s="1"/>
  <c r="E60" i="20"/>
  <c r="F60" i="20" s="1"/>
  <c r="G60" i="20" s="1"/>
  <c r="J60" i="20" s="1"/>
  <c r="E35" i="20"/>
  <c r="F35" i="20" s="1"/>
  <c r="G35" i="20" s="1"/>
  <c r="J35" i="20" s="1"/>
  <c r="E48" i="20"/>
  <c r="F48" i="20" s="1"/>
  <c r="G48" i="20" s="1"/>
  <c r="J48" i="20" s="1"/>
  <c r="E19" i="20"/>
  <c r="F19" i="20" s="1"/>
  <c r="G19" i="20" s="1"/>
  <c r="J19" i="20" s="1"/>
  <c r="E27" i="20"/>
  <c r="F27" i="20" s="1"/>
  <c r="G27" i="20" s="1"/>
  <c r="J27" i="20" s="1"/>
  <c r="H10" i="20"/>
  <c r="H63" i="20" s="1"/>
  <c r="D63" i="20"/>
  <c r="J18" i="20"/>
  <c r="I63" i="20"/>
  <c r="C58" i="22"/>
  <c r="E58" i="22" s="1"/>
  <c r="C67" i="22" s="1"/>
  <c r="E67" i="22" s="1"/>
  <c r="C74" i="22" s="1"/>
  <c r="E52" i="22"/>
  <c r="N25" i="21"/>
  <c r="M25" i="21"/>
  <c r="N11" i="21"/>
  <c r="M11" i="21"/>
  <c r="N55" i="21"/>
  <c r="M55" i="21"/>
  <c r="N13" i="21"/>
  <c r="M13" i="21"/>
  <c r="N28" i="21"/>
  <c r="M28" i="21"/>
  <c r="M37" i="21"/>
  <c r="N37" i="21"/>
  <c r="N14" i="21"/>
  <c r="M14" i="21"/>
  <c r="N57" i="21"/>
  <c r="M57" i="21"/>
  <c r="N15" i="21"/>
  <c r="M15" i="21"/>
  <c r="N22" i="21"/>
  <c r="M22" i="21"/>
  <c r="M43" i="21"/>
  <c r="N43" i="21"/>
  <c r="N41" i="21"/>
  <c r="M41" i="21"/>
  <c r="N30" i="21"/>
  <c r="M30" i="21"/>
  <c r="N20" i="21"/>
  <c r="M20" i="21"/>
  <c r="N27" i="21"/>
  <c r="M27" i="21"/>
  <c r="M35" i="21"/>
  <c r="N35" i="21"/>
  <c r="N21" i="21"/>
  <c r="M21" i="21"/>
  <c r="N39" i="21"/>
  <c r="M39" i="21"/>
  <c r="N56" i="21"/>
  <c r="M56" i="21"/>
  <c r="N19" i="21"/>
  <c r="M19" i="21"/>
  <c r="N12" i="21"/>
  <c r="M12" i="21"/>
  <c r="M34" i="21"/>
  <c r="N34" i="21"/>
  <c r="M45" i="21"/>
  <c r="N45" i="21"/>
  <c r="N42" i="21"/>
  <c r="M42" i="21"/>
  <c r="M33" i="21"/>
  <c r="N33" i="21"/>
  <c r="M32" i="21"/>
  <c r="N32" i="21"/>
  <c r="N53" i="21"/>
  <c r="M53" i="21"/>
  <c r="M40" i="21"/>
  <c r="N40" i="21"/>
  <c r="N52" i="21"/>
  <c r="M52" i="21"/>
  <c r="M36" i="21"/>
  <c r="N36" i="21"/>
  <c r="N38" i="21"/>
  <c r="M38" i="21"/>
  <c r="N17" i="21"/>
  <c r="M17" i="21"/>
  <c r="N29" i="21"/>
  <c r="M29" i="21"/>
  <c r="N51" i="21"/>
  <c r="M51" i="21"/>
  <c r="M47" i="21"/>
  <c r="N47" i="21"/>
  <c r="M18" i="21"/>
  <c r="N18" i="21"/>
  <c r="N54" i="21"/>
  <c r="M54" i="21"/>
  <c r="M50" i="21"/>
  <c r="N50" i="21"/>
  <c r="J58" i="21"/>
  <c r="J1" i="21" s="1"/>
  <c r="N23" i="21"/>
  <c r="M23" i="21"/>
  <c r="N31" i="21"/>
  <c r="M31" i="21"/>
  <c r="N44" i="21"/>
  <c r="M44" i="21"/>
  <c r="N26" i="21"/>
  <c r="M26" i="21"/>
  <c r="N24" i="21"/>
  <c r="M24" i="21"/>
  <c r="N16" i="21"/>
  <c r="M16" i="21"/>
  <c r="M48" i="21"/>
  <c r="N48" i="21"/>
  <c r="M49" i="21"/>
  <c r="N49" i="21"/>
  <c r="M46" i="21"/>
  <c r="N46" i="21"/>
  <c r="K58" i="21"/>
  <c r="N58" i="21" s="1"/>
  <c r="M9" i="21"/>
  <c r="N9" i="21"/>
  <c r="M10" i="21"/>
  <c r="N10" i="21"/>
  <c r="E63" i="20" l="1"/>
  <c r="G61" i="20"/>
  <c r="G63" i="20" s="1"/>
  <c r="F63" i="20"/>
  <c r="J63" i="20"/>
  <c r="C80" i="22"/>
  <c r="E74" i="22"/>
  <c r="M58" i="21"/>
  <c r="E80" i="22" l="1"/>
  <c r="C89" i="22" l="1"/>
  <c r="E89" i="22" l="1"/>
  <c r="C95" i="22"/>
  <c r="C100" i="22" s="1"/>
  <c r="E100" i="22" l="1"/>
  <c r="C106" i="22"/>
  <c r="C112" i="22" s="1"/>
  <c r="E95" i="22"/>
  <c r="E112" i="22" l="1"/>
  <c r="C118" i="22"/>
  <c r="E118" i="22" s="1"/>
  <c r="E106" i="22"/>
  <c r="F52" i="18"/>
</calcChain>
</file>

<file path=xl/comments1.xml><?xml version="1.0" encoding="utf-8"?>
<comments xmlns="http://schemas.openxmlformats.org/spreadsheetml/2006/main">
  <authors>
    <author>jbutton</author>
  </authors>
  <commentList>
    <comment ref="H9" authorId="0" shapeId="0">
      <text>
        <r>
          <rPr>
            <b/>
            <sz val="9"/>
            <color indexed="81"/>
            <rFont val="Tahoma"/>
            <charset val="1"/>
          </rPr>
          <t>jbutton:</t>
        </r>
        <r>
          <rPr>
            <sz val="9"/>
            <color indexed="81"/>
            <rFont val="Tahoma"/>
            <charset val="1"/>
          </rPr>
          <t xml:space="preserve">
est 5% increase
</t>
        </r>
      </text>
    </comment>
    <comment ref="E46" authorId="0" shapeId="0">
      <text>
        <r>
          <rPr>
            <b/>
            <sz val="9"/>
            <color indexed="81"/>
            <rFont val="Tahoma"/>
            <charset val="1"/>
          </rPr>
          <t>jbutton:</t>
        </r>
        <r>
          <rPr>
            <sz val="9"/>
            <color indexed="81"/>
            <rFont val="Tahoma"/>
            <charset val="1"/>
          </rPr>
          <t xml:space="preserve">
Refund to Libs
</t>
        </r>
      </text>
    </comment>
  </commentList>
</comments>
</file>

<file path=xl/comments2.xml><?xml version="1.0" encoding="utf-8"?>
<comments xmlns="http://schemas.openxmlformats.org/spreadsheetml/2006/main">
  <authors>
    <author>jbutton</author>
  </authors>
  <commentList>
    <comment ref="F7" authorId="0" shapeId="0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300,000 less $19,683 (1st Sierra payment)</t>
        </r>
      </text>
    </comment>
    <comment ref="F52" authorId="0" shapeId="0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300,000 less $19,683 (1st Sierra payment)</t>
        </r>
      </text>
    </comment>
    <comment ref="F58" authorId="0" shapeId="0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300,000 less $19,683 (1st Sierra payment)</t>
        </r>
      </text>
    </comment>
    <comment ref="F67" authorId="0" shapeId="0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300,000 less $19,683 (1st Sierra payment)</t>
        </r>
      </text>
    </comment>
    <comment ref="F74" authorId="0" shapeId="0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$300,000 less $19,683 (1st Sierra payment) less 2nd &amp; 3rd payments of $85,292</t>
        </r>
      </text>
    </comment>
    <comment ref="F80" authorId="0" shapeId="0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$300,000 less $19,683 (1st Sierra payment) less 2nd &amp; 3rd payments of $85,292 + Add'l Res of $4,975</t>
        </r>
      </text>
    </comment>
    <comment ref="C83" authorId="0" shapeId="0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5,382.44 CO for Overdrive $ + </t>
        </r>
      </text>
    </comment>
    <comment ref="C84" authorId="0" shapeId="0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 $12,000 Server Replacement Program $ to Reserves + 
</t>
        </r>
      </text>
    </comment>
    <comment ref="F89" authorId="0" shapeId="0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$200,000 plus $12,000 from 2013 budget for unspent Server Replacement Program + 12,000 from 2014 Budget</t>
        </r>
      </text>
    </comment>
    <comment ref="F95" authorId="0" shapeId="0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$200,000 plus $12,000 from 2013 budget for unspent Server Replacement Program + 12,000 from 2014 Budget</t>
        </r>
      </text>
    </comment>
    <comment ref="F100" authorId="0" shapeId="0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$200,000 plus $12,000 from 2013 budget for unspent Server Replacement Program + 12,000 from 2014 Budget</t>
        </r>
      </text>
    </comment>
    <comment ref="F106" authorId="0" shapeId="0">
      <text>
        <r>
          <rPr>
            <b/>
            <sz val="9"/>
            <color indexed="81"/>
            <rFont val="Tahoma"/>
            <charset val="1"/>
          </rPr>
          <t>jbutton:</t>
        </r>
        <r>
          <rPr>
            <sz val="9"/>
            <color indexed="81"/>
            <rFont val="Tahoma"/>
            <charset val="1"/>
          </rPr>
          <t xml:space="preserve">
224,000 + 35,990 for Boopsie expense</t>
        </r>
      </text>
    </comment>
    <comment ref="C108" authorId="0" shapeId="0">
      <text>
        <r>
          <rPr>
            <b/>
            <sz val="9"/>
            <color indexed="81"/>
            <rFont val="Tahoma"/>
            <charset val="1"/>
          </rPr>
          <t>jbutton:</t>
        </r>
        <r>
          <rPr>
            <sz val="9"/>
            <color indexed="81"/>
            <rFont val="Tahoma"/>
            <charset val="1"/>
          </rPr>
          <t xml:space="preserve">
Boobsie startup &amp; 1st yr subscription  -  likely credit on acct and will reallocate to new product</t>
        </r>
      </text>
    </comment>
  </commentList>
</comments>
</file>

<file path=xl/comments3.xml><?xml version="1.0" encoding="utf-8"?>
<comments xmlns="http://schemas.openxmlformats.org/spreadsheetml/2006/main">
  <authors>
    <author>jbutton</author>
  </authors>
  <commentList>
    <comment ref="J2" authorId="0" shapeId="0">
      <text>
        <r>
          <rPr>
            <b/>
            <sz val="9"/>
            <color indexed="81"/>
            <rFont val="Tahoma"/>
            <charset val="1"/>
          </rPr>
          <t>jbutton:</t>
        </r>
        <r>
          <rPr>
            <sz val="9"/>
            <color indexed="81"/>
            <rFont val="Tahoma"/>
            <charset val="1"/>
          </rPr>
          <t xml:space="preserve">
3% increase in 2019</t>
        </r>
      </text>
    </comment>
    <comment ref="D5" authorId="0" shapeId="0">
      <text>
        <r>
          <rPr>
            <b/>
            <sz val="9"/>
            <color indexed="81"/>
            <rFont val="Tahoma"/>
            <charset val="1"/>
          </rPr>
          <t>jbutton:</t>
        </r>
        <r>
          <rPr>
            <sz val="9"/>
            <color indexed="81"/>
            <rFont val="Tahoma"/>
            <charset val="1"/>
          </rPr>
          <t xml:space="preserve">
3% increase in 2019</t>
        </r>
      </text>
    </comment>
  </commentList>
</comments>
</file>

<file path=xl/sharedStrings.xml><?xml version="1.0" encoding="utf-8"?>
<sst xmlns="http://schemas.openxmlformats.org/spreadsheetml/2006/main" count="445" uniqueCount="371">
  <si>
    <t>MORE Shared Automation System</t>
  </si>
  <si>
    <t xml:space="preserve">Line  </t>
  </si>
  <si>
    <t>Revised</t>
  </si>
  <si>
    <t>#</t>
  </si>
  <si>
    <t>Line Item Description</t>
  </si>
  <si>
    <t>Revisions</t>
  </si>
  <si>
    <t xml:space="preserve">Notes  </t>
  </si>
  <si>
    <t>Annual Maintenance - Innovative</t>
  </si>
  <si>
    <t>Innovative/Other Products:</t>
  </si>
  <si>
    <t>Host Site Expenses:</t>
  </si>
  <si>
    <t>Meetings &amp; Training Expenses:</t>
  </si>
  <si>
    <t>Conferences</t>
  </si>
  <si>
    <t>Miscellaneous Expenses:</t>
  </si>
  <si>
    <t>Publicity - Promo Items &amp; Train Mtls</t>
  </si>
  <si>
    <t>Bibliographic Utility</t>
    <phoneticPr fontId="0" type="noConversion"/>
  </si>
  <si>
    <t>Operating Contingency</t>
  </si>
  <si>
    <t>Content/Materials Purchases:</t>
  </si>
  <si>
    <t>WPLC E-Content Buying Pool</t>
  </si>
  <si>
    <t>OverDrive Content</t>
  </si>
  <si>
    <t xml:space="preserve">   Total Content/Material Purchases</t>
  </si>
  <si>
    <t>Reserves/Carryover:</t>
  </si>
  <si>
    <t xml:space="preserve">To Reserves - Hardware </t>
  </si>
  <si>
    <t xml:space="preserve">To Reserves - Software </t>
  </si>
  <si>
    <t>To Reserves - System Contingency</t>
  </si>
  <si>
    <t>Operating Exp from Carryover/Reserves</t>
  </si>
  <si>
    <t>TOTAL COSTS  (to be billed)</t>
  </si>
  <si>
    <t>Total Funds/Billed to MORE Libs</t>
  </si>
  <si>
    <t>Est.  Uncommitted Carryover @ End of Year</t>
  </si>
  <si>
    <t>see "Carryover" tab for Estimate</t>
  </si>
  <si>
    <t>Uncommitted Funds Summary:</t>
  </si>
  <si>
    <t>Includes</t>
  </si>
  <si>
    <t>Reserves</t>
  </si>
  <si>
    <t>Reserve Bal =</t>
  </si>
  <si>
    <t>MORE Equity @ 12/31/05</t>
  </si>
  <si>
    <t xml:space="preserve">   Less Reserves</t>
  </si>
  <si>
    <t xml:space="preserve">   Less 2006 Projects from Carryover</t>
  </si>
  <si>
    <t xml:space="preserve">   Plus Rice Lake Balance Startup</t>
  </si>
  <si>
    <t xml:space="preserve">   Plus Chetek Startup</t>
  </si>
  <si>
    <t xml:space="preserve">   Plus Augusta Startup</t>
  </si>
  <si>
    <t xml:space="preserve">   Plus Plum City Startup</t>
  </si>
  <si>
    <t xml:space="preserve">   Plus Cadott Startup</t>
  </si>
  <si>
    <t xml:space="preserve">   Less Innovative Startup Costs</t>
  </si>
  <si>
    <t xml:space="preserve">   Less Rice Lk Maint Jan-Jun '06</t>
  </si>
  <si>
    <t xml:space="preserve">   Adj to Close Books @ end of 2006</t>
  </si>
  <si>
    <t>MORE Equity (less Reserves) @ 12/31/06</t>
  </si>
  <si>
    <t xml:space="preserve">   Less 2007 Projects from Carryover/Reserves</t>
  </si>
  <si>
    <t xml:space="preserve">   Less Jan-Jul AnnMaint (new '06 Libs)</t>
  </si>
  <si>
    <t xml:space="preserve">   Plus Phillips Startup</t>
  </si>
  <si>
    <t xml:space="preserve">   Plus Stanley Startup</t>
  </si>
  <si>
    <t xml:space="preserve">   Less Marchive Startup Costs</t>
  </si>
  <si>
    <t xml:space="preserve">   Adj to Close Books @ end of 2007</t>
  </si>
  <si>
    <t>MORE Carryover (less Reserves) @ 12/31/07</t>
  </si>
  <si>
    <t xml:space="preserve">   Less 2008 Projects from Carryover</t>
  </si>
  <si>
    <t xml:space="preserve">   Less Jan-Jul AnnMaint (new '07 Libs)</t>
  </si>
  <si>
    <t xml:space="preserve">  _</t>
  </si>
  <si>
    <t xml:space="preserve">   Plus Barron Startup</t>
  </si>
  <si>
    <t xml:space="preserve">    |</t>
  </si>
  <si>
    <t xml:space="preserve">   Plus Bruce Startup</t>
  </si>
  <si>
    <t xml:space="preserve">   Plus Cameron Startup</t>
  </si>
  <si>
    <t xml:space="preserve">    |__</t>
  </si>
  <si>
    <t>some from LSTA</t>
  </si>
  <si>
    <t xml:space="preserve">   Plus Cumberland Startup</t>
  </si>
  <si>
    <t xml:space="preserve">   Plus Ladysmith Startup</t>
  </si>
  <si>
    <t xml:space="preserve">   Plus Turle Lake Startup</t>
  </si>
  <si>
    <t xml:space="preserve">  _|</t>
  </si>
  <si>
    <t xml:space="preserve">   Less BCLIC Deferred Startup Payments</t>
  </si>
  <si>
    <t xml:space="preserve">   Less Cleanup Contract &amp; Add'l Lists</t>
  </si>
  <si>
    <t xml:space="preserve">   Less BCLIC Database Cost</t>
  </si>
  <si>
    <t xml:space="preserve">   Adj to Close Books @ end of 2008</t>
  </si>
  <si>
    <t>Est MORE Carryover (less Reserves) @ 12/31/08</t>
  </si>
  <si>
    <t xml:space="preserve">   Less 2009 Projects from Carryover</t>
  </si>
  <si>
    <t xml:space="preserve">   Less Jan-Jul AnnMaint (new '08 Libs)</t>
  </si>
  <si>
    <t xml:space="preserve">   Less Balance of Cleanup Contract</t>
  </si>
  <si>
    <t xml:space="preserve">   Plus 2009 BCLIC Deferred Startup Payments</t>
  </si>
  <si>
    <t xml:space="preserve">   Less Ecommerce Modules from '08 Budget</t>
  </si>
  <si>
    <t xml:space="preserve">   Less SCAT Table from '08 Budget</t>
  </si>
  <si>
    <t xml:space="preserve">   Less Publicity funds from '08 Budget</t>
  </si>
  <si>
    <t xml:space="preserve">   Less Approved Add'l Training Travel Budget</t>
  </si>
  <si>
    <t xml:space="preserve">   Less 2009 Interest Income Shortfall</t>
  </si>
  <si>
    <t xml:space="preserve">   Adj to Close Books @ end of 2009</t>
    <phoneticPr fontId="0" type="noConversion"/>
  </si>
  <si>
    <t>Est MORE Carryover (less Reserves) @ 12/31/09</t>
  </si>
  <si>
    <t xml:space="preserve">   Less 2010 Projects from Carryover</t>
  </si>
  <si>
    <t xml:space="preserve">   Plus Sand Creek Startup</t>
    <phoneticPr fontId="0" type="noConversion"/>
  </si>
  <si>
    <t xml:space="preserve">   Less Sand Creek Startup Costs</t>
    <phoneticPr fontId="0" type="noConversion"/>
  </si>
  <si>
    <t xml:space="preserve">   Adj to Close Books @ end of 2010</t>
  </si>
  <si>
    <t>MORE Carryover (less Reserves) @ 12/31/10</t>
  </si>
  <si>
    <t xml:space="preserve">   Less 2011 Projects from Carryover</t>
  </si>
  <si>
    <t xml:space="preserve">   Plus Bloomer Startup Income (@ 1/1/2011)</t>
  </si>
  <si>
    <t xml:space="preserve">   Plus Amery Startup Income (@ 7/1/2011</t>
  </si>
  <si>
    <t xml:space="preserve">   Less Bloomer Startup Costs</t>
  </si>
  <si>
    <t xml:space="preserve">   Less Amery Startup Costs</t>
  </si>
  <si>
    <t xml:space="preserve">   Less Jan-Jul AnnMaint (new '10 Libs)</t>
    <phoneticPr fontId="0" type="noConversion"/>
  </si>
  <si>
    <t xml:space="preserve">   Adj to Close Books @ end of 2011</t>
  </si>
  <si>
    <t xml:space="preserve">   Less 2012 Projects from Carryover</t>
  </si>
  <si>
    <t xml:space="preserve">   Plus Amery Startup Income (Balance)</t>
  </si>
  <si>
    <t xml:space="preserve">   Less Jan-Jul AnnMaint (new '11 Libs)</t>
  </si>
  <si>
    <t xml:space="preserve">   Less Prepaid OverDrive (carryover)</t>
  </si>
  <si>
    <t xml:space="preserve">   Adj to Close Books @ end of 2012</t>
  </si>
  <si>
    <t xml:space="preserve">   Less 2013 Projects from Carryover</t>
  </si>
  <si>
    <t xml:space="preserve">   Less Jan-Jul AnnMaint (new '12 Libs)</t>
  </si>
  <si>
    <t xml:space="preserve">   Less Jan-Jul AnnMaint (new '13 Libs)</t>
  </si>
  <si>
    <t>&lt;------ Includes----------&gt;</t>
  </si>
  <si>
    <t>Contents</t>
  </si>
  <si>
    <t>Gen Maint.</t>
  </si>
  <si>
    <t>See list of libraries with additional costs below (re: special modules or self-checks)</t>
  </si>
  <si>
    <t>Line #</t>
  </si>
  <si>
    <t>Library w/start date (AnnMaint next yr)</t>
  </si>
  <si>
    <t>2014         Total         Cost to Library</t>
  </si>
  <si>
    <t>Altoona   1/1/2000</t>
  </si>
  <si>
    <t>Baldwin   1/1/2000</t>
  </si>
  <si>
    <t>Balsam Lake   1/1/2000</t>
  </si>
  <si>
    <t>CVTC   1/1/2000 (withdrawal 1/1/2006)</t>
  </si>
  <si>
    <t>Deer Park   1/1/2000</t>
  </si>
  <si>
    <t>Dresser   1/1/2000</t>
  </si>
  <si>
    <t>Ellsworth   1/1/2000</t>
  </si>
  <si>
    <t>Glenwood City   1/1/2000</t>
  </si>
  <si>
    <t>Hudson   1/1/2000</t>
  </si>
  <si>
    <t>LEPMPL   1/1/2000</t>
  </si>
  <si>
    <t>Luck   1/1/2000</t>
  </si>
  <si>
    <t>Milltown   1/1/2000</t>
  </si>
  <si>
    <t>New Richmond   1/1/2000</t>
  </si>
  <si>
    <t>Osceola  1/1/2000</t>
  </si>
  <si>
    <t>Park Falls   1/1/2000</t>
  </si>
  <si>
    <t>Polk County   1/1/2000</t>
  </si>
  <si>
    <t>Prescott   1/1/2000</t>
  </si>
  <si>
    <t>River Falls   1/1/2000</t>
  </si>
  <si>
    <t>Somerset   1/1/2000</t>
  </si>
  <si>
    <t>Woodville   1/1/2000</t>
  </si>
  <si>
    <t>Boyceville  *   1/1/2000</t>
  </si>
  <si>
    <t>Colfax  *   1/1/2002</t>
  </si>
  <si>
    <t>Clear Lake  *   7/1/2003</t>
  </si>
  <si>
    <t>Centuria  *   7/1/2003</t>
  </si>
  <si>
    <t>Frederic  *   7/1/2003</t>
  </si>
  <si>
    <t>Menomonie  *   7/1/2003</t>
  </si>
  <si>
    <t>Pepin  *   7/1/2003</t>
  </si>
  <si>
    <t>St Croix Falls  *   7/1/2003</t>
  </si>
  <si>
    <t>Chippewa Falls  *   1/1/2004</t>
  </si>
  <si>
    <t>Roberts  *   7/1/2004</t>
  </si>
  <si>
    <t>Fall Creek  *   7/1/2004</t>
  </si>
  <si>
    <t>Spring Valley  *   7/1/2004</t>
  </si>
  <si>
    <t>Elmwood  *  1/1/2005</t>
  </si>
  <si>
    <t>Hammond  * 1/1/2005</t>
  </si>
  <si>
    <t>Rice Lake  *  7/1/2005</t>
  </si>
  <si>
    <t>Chetek  * 1/1/2006</t>
  </si>
  <si>
    <t>Augusta  *  7/1/2006</t>
  </si>
  <si>
    <t>Cadott  *  7/1/2006</t>
  </si>
  <si>
    <t>Plum City *  7/1/2006</t>
  </si>
  <si>
    <t>Phillips  *  7/1/2007</t>
  </si>
  <si>
    <t>Stanley  *  7/1/2007</t>
  </si>
  <si>
    <t>Barron  *  7/1/2008</t>
  </si>
  <si>
    <t>Bruce  *  7/1/2008</t>
  </si>
  <si>
    <t>Cameron  *  7/1/2008</t>
  </si>
  <si>
    <t>Cumberland  *  7/1/2008</t>
  </si>
  <si>
    <t>Ladysmith  *  7/1/2008</t>
  </si>
  <si>
    <t>Turtle Lake  * 7/1/2008</t>
  </si>
  <si>
    <t>Sand Creek  * 7/1/2010</t>
    <phoneticPr fontId="0" type="noConversion"/>
  </si>
  <si>
    <t>Bloomer   * 1/1/2011</t>
  </si>
  <si>
    <t>Amery   * 7/1/2011</t>
  </si>
  <si>
    <t>Ogema   * 1/1/2012</t>
  </si>
  <si>
    <t>IFLS Contributions to Libs</t>
  </si>
  <si>
    <t>Total</t>
  </si>
  <si>
    <t>slight differences = rounding</t>
  </si>
  <si>
    <t xml:space="preserve">From New     Library Income - </t>
  </si>
  <si>
    <t>* Libraries added after the 1st 20</t>
  </si>
  <si>
    <t>Libraries with Additional Maintenance re: Special Modules or Self-check</t>
  </si>
  <si>
    <t>Altoona</t>
  </si>
  <si>
    <t xml:space="preserve">  Self-check</t>
  </si>
  <si>
    <t>Amery</t>
  </si>
  <si>
    <t>Baldwin</t>
  </si>
  <si>
    <t>Barron</t>
    <phoneticPr fontId="0" type="noConversion"/>
  </si>
  <si>
    <t xml:space="preserve">  Self-check</t>
    <phoneticPr fontId="0" type="noConversion"/>
  </si>
  <si>
    <t>Chippewa</t>
  </si>
  <si>
    <t>Eau Claire</t>
  </si>
  <si>
    <t xml:space="preserve">  Collection agency</t>
  </si>
  <si>
    <t>Ellsworth</t>
    <phoneticPr fontId="0" type="noConversion"/>
  </si>
  <si>
    <t>Frederic</t>
    <phoneticPr fontId="0" type="noConversion"/>
  </si>
  <si>
    <t>Glenwood City</t>
  </si>
  <si>
    <t>Hudson</t>
  </si>
  <si>
    <t xml:space="preserve">  2 Self-check</t>
  </si>
  <si>
    <t>Menomonie</t>
  </si>
  <si>
    <t>New Richmond</t>
  </si>
  <si>
    <t>Pepin</t>
  </si>
  <si>
    <t>Prescott</t>
    <phoneticPr fontId="0" type="noConversion"/>
  </si>
  <si>
    <t>Rice Lake</t>
    <phoneticPr fontId="0" type="noConversion"/>
  </si>
  <si>
    <t>River Falls</t>
  </si>
  <si>
    <t xml:space="preserve">  2 Self-check</t>
    <phoneticPr fontId="0" type="noConversion"/>
  </si>
  <si>
    <t>Roberts</t>
    <phoneticPr fontId="0" type="noConversion"/>
  </si>
  <si>
    <t>Stanley</t>
    <phoneticPr fontId="0" type="noConversion"/>
  </si>
  <si>
    <t>St Croix Falls</t>
  </si>
  <si>
    <t>Woodville</t>
  </si>
  <si>
    <t>Total Additional Billable</t>
  </si>
  <si>
    <t>Total IFLS Subsidy:</t>
  </si>
  <si>
    <t>Add'l Subsidy per Lib:</t>
  </si>
  <si>
    <t xml:space="preserve"> - Subsidy</t>
  </si>
  <si>
    <t>Bill to Libs</t>
  </si>
  <si>
    <t>Content $</t>
  </si>
  <si>
    <t xml:space="preserve">                    =</t>
  </si>
  <si>
    <t>Circ &amp; Items as a % of Total</t>
  </si>
  <si>
    <t>LIBRARY</t>
  </si>
  <si>
    <t>items per total</t>
  </si>
  <si>
    <t>circ per total</t>
  </si>
  <si>
    <t>Total items+circ</t>
  </si>
  <si>
    <t>i+c per total %</t>
  </si>
  <si>
    <t>Add'l Subsidy</t>
  </si>
  <si>
    <t>Cost to Library</t>
  </si>
  <si>
    <t>Content $ included</t>
  </si>
  <si>
    <t>Total Cost        Change</t>
  </si>
  <si>
    <t>%              Change</t>
  </si>
  <si>
    <t xml:space="preserve">Augusta </t>
  </si>
  <si>
    <t>Balsam Lake</t>
  </si>
  <si>
    <t>Barron</t>
  </si>
  <si>
    <t>Bloomer</t>
  </si>
  <si>
    <t>Boyceville</t>
  </si>
  <si>
    <t>Bruce</t>
  </si>
  <si>
    <t xml:space="preserve">Cadott </t>
  </si>
  <si>
    <t>Cameron</t>
  </si>
  <si>
    <t>Centuria</t>
  </si>
  <si>
    <t xml:space="preserve">Chetek </t>
  </si>
  <si>
    <t>Chippewa Falls</t>
  </si>
  <si>
    <t>Clear Lake</t>
  </si>
  <si>
    <t>Colfax</t>
  </si>
  <si>
    <t>Cumberland</t>
  </si>
  <si>
    <t>Deer Park</t>
  </si>
  <si>
    <t>Dresser</t>
  </si>
  <si>
    <t>Ellsworth</t>
  </si>
  <si>
    <t>Elmwood</t>
  </si>
  <si>
    <t>Fall Creek</t>
  </si>
  <si>
    <t>Frederic</t>
  </si>
  <si>
    <t xml:space="preserve">Hammond </t>
  </si>
  <si>
    <t>Ladysmith</t>
  </si>
  <si>
    <t>Luck</t>
  </si>
  <si>
    <t>Milltown</t>
  </si>
  <si>
    <t>Ogema</t>
  </si>
  <si>
    <t>Osceola</t>
  </si>
  <si>
    <t>Park Falls</t>
  </si>
  <si>
    <t>Phillips</t>
  </si>
  <si>
    <t xml:space="preserve">Plum City </t>
  </si>
  <si>
    <t>Prescott</t>
  </si>
  <si>
    <t xml:space="preserve">Rice Lake </t>
  </si>
  <si>
    <t>Roberts</t>
  </si>
  <si>
    <t>Sand Creek</t>
    <phoneticPr fontId="9" type="noConversion"/>
  </si>
  <si>
    <t>Somerset</t>
  </si>
  <si>
    <t>Spring Valley</t>
  </si>
  <si>
    <t>Stanley</t>
  </si>
  <si>
    <t>Turtle Lake</t>
  </si>
  <si>
    <t>TOTAL</t>
  </si>
  <si>
    <t>MORE Consortium</t>
  </si>
  <si>
    <t>Reserve/Replacement Funds</t>
  </si>
  <si>
    <t>Desired Total</t>
  </si>
  <si>
    <t>1999-2000</t>
  </si>
  <si>
    <t>Spent in 2003</t>
  </si>
  <si>
    <t>Replaced w/2003 $</t>
  </si>
  <si>
    <t>2005/10</t>
  </si>
  <si>
    <t>2013/14</t>
  </si>
  <si>
    <t>Planned needs for Replacement Funds:</t>
  </si>
  <si>
    <t>To Reserves - Hardware (3 yr cycle)</t>
  </si>
  <si>
    <t xml:space="preserve">     Replacement</t>
  </si>
  <si>
    <t xml:space="preserve">     Upgrades</t>
  </si>
  <si>
    <t>To Reserves - Software (10 yr cycle)</t>
  </si>
  <si>
    <t xml:space="preserve">     Replacement/Upgrades</t>
  </si>
  <si>
    <t>To Reserves - Enhancements (4 yr cycle)</t>
  </si>
  <si>
    <t xml:space="preserve">     3rd Party</t>
  </si>
  <si>
    <t xml:space="preserve">     Innovative</t>
  </si>
  <si>
    <t>To Reserves Contingency</t>
  </si>
  <si>
    <t>Totals to Reserves</t>
  </si>
  <si>
    <t>Cummulative Total</t>
  </si>
  <si>
    <t>Freading eBook Service</t>
  </si>
  <si>
    <t>**</t>
  </si>
  <si>
    <t xml:space="preserve">   Adj to Close Books @ end of 2013</t>
  </si>
  <si>
    <t xml:space="preserve">   Less 2015 Projects from Carryover</t>
  </si>
  <si>
    <t xml:space="preserve">   Plus Startup Income</t>
  </si>
  <si>
    <t xml:space="preserve">   Less 2014 Projects from Carryover (prelim bud)</t>
  </si>
  <si>
    <t xml:space="preserve">   Less 2014 Add'l amounts from Carryover (rev'd)</t>
  </si>
  <si>
    <t>Carryover @ 12/31/11</t>
  </si>
  <si>
    <t>Carryover @ 12/31/12</t>
  </si>
  <si>
    <t>Carryover @ 12/31/13</t>
  </si>
  <si>
    <t xml:space="preserve">   Less 2014 Add'l amount from CO to Reserves</t>
  </si>
  <si>
    <t>MARCIVE</t>
  </si>
  <si>
    <t>Total Reserves @ End of Year (line )</t>
  </si>
  <si>
    <t xml:space="preserve">Management Team Training </t>
  </si>
  <si>
    <t>AnnMaint - Software Insurance</t>
  </si>
  <si>
    <t>Library Elf Subscription</t>
  </si>
  <si>
    <t>NoveList Select Subscription</t>
  </si>
  <si>
    <t>Encore</t>
  </si>
  <si>
    <t>Decision Center</t>
  </si>
  <si>
    <t>Possible New Products</t>
  </si>
  <si>
    <t>Possible New Products (from Carryover)</t>
  </si>
  <si>
    <t>IFLS Management Charges</t>
  </si>
  <si>
    <t>Seminars, webinars, etc. for IFLS staff</t>
  </si>
  <si>
    <t>Professional printing</t>
  </si>
  <si>
    <r>
      <rPr>
        <b/>
        <sz val="10"/>
        <rFont val="Arial"/>
        <family val="2"/>
      </rPr>
      <t>Formula</t>
    </r>
    <r>
      <rPr>
        <sz val="10"/>
        <rFont val="Arial"/>
        <family val="2"/>
      </rPr>
      <t xml:space="preserve"> Circ&amp;Items           % of Total</t>
    </r>
  </si>
  <si>
    <t>Total Cost per Library before IFLS Subsidy</t>
  </si>
  <si>
    <t>Preserve system software code</t>
  </si>
  <si>
    <t>Self-check</t>
  </si>
  <si>
    <t xml:space="preserve">   Adj to Close Books @ end of 2014</t>
  </si>
  <si>
    <t>CVTC Data Center Charges</t>
  </si>
  <si>
    <t>Online catalog enhanced content</t>
  </si>
  <si>
    <t>Collection Development Project</t>
  </si>
  <si>
    <t>Cover images for online catalog</t>
  </si>
  <si>
    <t>Based on IFLS's state aid; includes some IFLS personnel, committee meeting, training travel/meeting, and telephone expenses</t>
  </si>
  <si>
    <t xml:space="preserve">   Adj to Close Books @ end of 2015</t>
  </si>
  <si>
    <t>IFLS Subsidy per Library</t>
  </si>
  <si>
    <t>Email and text reminder subscription</t>
  </si>
  <si>
    <t>2018 Budget</t>
  </si>
  <si>
    <t>Content Café</t>
  </si>
  <si>
    <t>Hosting Sierra and Encore servers; 2017: increase for adding Encore server</t>
  </si>
  <si>
    <t>Boopsie</t>
  </si>
  <si>
    <t>iTIVA from Talking Tech</t>
  </si>
  <si>
    <t>Messaging telephone notification and renewal service, annual fee</t>
  </si>
  <si>
    <t xml:space="preserve"> 2018 Total</t>
  </si>
  <si>
    <t xml:space="preserve">   Less 2016 Projects from Carryover</t>
  </si>
  <si>
    <t>Carryover @ 12/31/14</t>
  </si>
  <si>
    <t>Carryover @ 12/31/15</t>
  </si>
  <si>
    <t>Carryover @ 12/31/16</t>
  </si>
  <si>
    <t xml:space="preserve">   Adj to Close Books @ end of 2016</t>
  </si>
  <si>
    <t xml:space="preserve">   Less 2017 Projects from Carryover</t>
  </si>
  <si>
    <t xml:space="preserve">   Adj to Close Books @ end of 2017</t>
  </si>
  <si>
    <t xml:space="preserve">   Less 2015 Add'l Software Only - from Carryover</t>
  </si>
  <si>
    <t xml:space="preserve">   Less 2018 Projects from Carryover</t>
  </si>
  <si>
    <t xml:space="preserve">   Adj to Close Books @ end of 2018</t>
  </si>
  <si>
    <t>Total @ the end of year</t>
  </si>
  <si>
    <t>Est Carryover @ 12/31/18</t>
  </si>
  <si>
    <t>2018 +/-</t>
  </si>
  <si>
    <t>Primarily annual Innovative Users Group Conference</t>
  </si>
  <si>
    <t>OCLC, Web Dewey, and RDA Toolkit</t>
  </si>
  <si>
    <t>Statewide OverDrive collection buying pool; some funds returned for system Advantage account</t>
  </si>
  <si>
    <t>2019 MORE Costs to Library Participants</t>
  </si>
  <si>
    <t xml:space="preserve">2019 Total MORE Budget = </t>
  </si>
  <si>
    <t xml:space="preserve">Less 2019 IFLS Subsidy (off top) = </t>
  </si>
  <si>
    <t xml:space="preserve">2019 MORE Budget billable to Libs = </t>
  </si>
  <si>
    <t xml:space="preserve">Add'l 2019 IFLS Subsidy = Am't per Lib ($800 Min) </t>
  </si>
  <si>
    <t>2017           items</t>
  </si>
  <si>
    <t>2017            circ</t>
  </si>
  <si>
    <t xml:space="preserve"> 2019 Total</t>
  </si>
  <si>
    <t>2 Self-check</t>
  </si>
  <si>
    <t xml:space="preserve">Eau Claire </t>
  </si>
  <si>
    <t>3 Self-check</t>
  </si>
  <si>
    <t>MORE 2019 Cost Allocations</t>
  </si>
  <si>
    <t>Reserve @ '19 = $24,000</t>
  </si>
  <si>
    <t>Reserve @ '19 = $175,000</t>
  </si>
  <si>
    <t>Reserve @ '19 = $25,000</t>
  </si>
  <si>
    <t>Carryover @ 12/31/17</t>
  </si>
  <si>
    <t>2015-   2019</t>
  </si>
  <si>
    <t>2019         Total         Cost to Library</t>
  </si>
  <si>
    <t>2019  Contents/ Materials</t>
  </si>
  <si>
    <t>2019     General Maintenance</t>
  </si>
  <si>
    <t>Est Carryover @ 12/31/19</t>
  </si>
  <si>
    <t xml:space="preserve">   Less 2018 Add'l from Carryover (revised budget)</t>
  </si>
  <si>
    <t xml:space="preserve">   Less 2019 Projects from Carryover</t>
  </si>
  <si>
    <t xml:space="preserve">   Less 2019 Add'l from Carryover (revised budget)</t>
  </si>
  <si>
    <t xml:space="preserve">   Adj to Close Books @ end of 2019</t>
  </si>
  <si>
    <t>7/21/2017 Approved</t>
  </si>
  <si>
    <t xml:space="preserve">   Reserves - Boopsie deferred to 2018</t>
  </si>
  <si>
    <t xml:space="preserve">2018 Revised Costs </t>
  </si>
  <si>
    <t>Recommended by RSCD</t>
  </si>
  <si>
    <t>Statistical and collection development tool</t>
  </si>
  <si>
    <r>
      <t xml:space="preserve">Online catalog software; annual subscription rate; </t>
    </r>
    <r>
      <rPr>
        <u val="singleAccounting"/>
        <sz val="11"/>
        <rFont val="Arial"/>
        <family val="2"/>
      </rPr>
      <t>3 yr contract: March 2017 - Feb. 2020</t>
    </r>
  </si>
  <si>
    <t>Ongoing authority processing service</t>
  </si>
  <si>
    <t>Automation software support</t>
  </si>
  <si>
    <t>2019 Recommended Budget</t>
  </si>
  <si>
    <t>Recommended</t>
  </si>
  <si>
    <t>Based on 2019 Recommended Budget</t>
  </si>
  <si>
    <t>6-29-2018</t>
  </si>
  <si>
    <t>Recommended Budget</t>
  </si>
  <si>
    <t xml:space="preserve">  2019 Recommended Budget:</t>
  </si>
  <si>
    <t xml:space="preserve">2019 Recommended Costs </t>
  </si>
  <si>
    <t>Eau Claire, Chippewa, Menomonie, Ladysmith, Balsam Lake, others</t>
  </si>
  <si>
    <t>IFLS OverDrive Advantage program; $20,000 recommended by RSCD</t>
  </si>
  <si>
    <t>To purchase high-demand materials in any format; $12,000 recommended by RSCD</t>
  </si>
  <si>
    <t>Electronic magazines</t>
  </si>
  <si>
    <t>Flipster is current product; funding level recommended by RSCD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</si>
</sst>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"/>
    <numFmt numFmtId="166" formatCode="0.0"/>
    <numFmt numFmtId="167" formatCode="_(* #,##0_);_(* \(#,##0\);_(* &quot;-&quot;??_);_(@_)"/>
    <numFmt numFmtId="168" formatCode="_(* #,##0_);_(* \(#,##0\);_(* &quot;-&quot;?_);_(@_)"/>
    <numFmt numFmtId="169" formatCode="0.0%"/>
    <numFmt numFmtId="170" formatCode="&quot;$&quot;#,##0"/>
    <numFmt numFmtId="171" formatCode="&quot;$&quot;#,##0.00"/>
  </numFmts>
  <fonts count="41">
    <font>
      <sz val="11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12"/>
      <name val="Arial"/>
      <family val="2"/>
    </font>
    <font>
      <u val="singleAccounting"/>
      <sz val="11"/>
      <name val="Arial"/>
      <family val="2"/>
    </font>
    <font>
      <sz val="10"/>
      <color indexed="8"/>
      <name val="SansSerif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8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Protection="0">
      <alignment wrapText="1"/>
    </xf>
    <xf numFmtId="0" fontId="9" fillId="0" borderId="0"/>
    <xf numFmtId="0" fontId="9" fillId="0" borderId="0"/>
    <xf numFmtId="9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8" applyNumberFormat="0" applyFill="0" applyAlignment="0" applyProtection="0"/>
    <xf numFmtId="0" fontId="21" fillId="0" borderId="39" applyNumberFormat="0" applyFill="0" applyAlignment="0" applyProtection="0"/>
    <xf numFmtId="0" fontId="22" fillId="0" borderId="40" applyNumberFormat="0" applyFill="0" applyAlignment="0" applyProtection="0"/>
    <xf numFmtId="0" fontId="22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41" applyNumberFormat="0" applyAlignment="0" applyProtection="0"/>
    <xf numFmtId="0" fontId="27" fillId="15" borderId="42" applyNumberFormat="0" applyAlignment="0" applyProtection="0"/>
    <xf numFmtId="0" fontId="28" fillId="15" borderId="41" applyNumberFormat="0" applyAlignment="0" applyProtection="0"/>
    <xf numFmtId="0" fontId="29" fillId="0" borderId="43" applyNumberFormat="0" applyFill="0" applyAlignment="0" applyProtection="0"/>
    <xf numFmtId="0" fontId="30" fillId="16" borderId="4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46" applyNumberFormat="0" applyFill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34" fillId="41" borderId="0" applyNumberFormat="0" applyBorder="0" applyAlignment="0" applyProtection="0"/>
    <xf numFmtId="0" fontId="4" fillId="0" borderId="0"/>
    <xf numFmtId="9" fontId="35" fillId="0" borderId="0" applyFont="0" applyFill="0" applyBorder="0" applyAlignment="0" applyProtection="0"/>
    <xf numFmtId="44" fontId="35" fillId="0" borderId="0" applyFont="0" applyFill="0" applyBorder="0" applyProtection="0">
      <alignment wrapText="1"/>
    </xf>
    <xf numFmtId="43" fontId="3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</cellStyleXfs>
  <cellXfs count="320"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6" xfId="0" applyFont="1" applyFill="1" applyBorder="1" applyAlignment="1">
      <alignment horizontal="center"/>
    </xf>
    <xf numFmtId="0" fontId="0" fillId="0" borderId="7" xfId="0" applyBorder="1"/>
    <xf numFmtId="14" fontId="3" fillId="0" borderId="0" xfId="0" applyNumberFormat="1" applyFont="1" applyAlignment="1">
      <alignment horizontal="left"/>
    </xf>
    <xf numFmtId="44" fontId="2" fillId="0" borderId="7" xfId="2" applyBorder="1">
      <alignment wrapText="1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44" fontId="2" fillId="3" borderId="7" xfId="2" applyFill="1" applyBorder="1">
      <alignment wrapText="1"/>
    </xf>
    <xf numFmtId="44" fontId="0" fillId="3" borderId="7" xfId="2" applyFont="1" applyFill="1" applyBorder="1">
      <alignment wrapText="1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/>
    <xf numFmtId="44" fontId="2" fillId="0" borderId="10" xfId="2" applyBorder="1">
      <alignment wrapText="1"/>
    </xf>
    <xf numFmtId="44" fontId="2" fillId="3" borderId="10" xfId="2" applyFill="1" applyBorder="1">
      <alignment wrapText="1"/>
    </xf>
    <xf numFmtId="44" fontId="2" fillId="0" borderId="11" xfId="2" applyBorder="1">
      <alignment wrapText="1"/>
    </xf>
    <xf numFmtId="44" fontId="2" fillId="3" borderId="11" xfId="2" applyFill="1" applyBorder="1">
      <alignment wrapText="1"/>
    </xf>
    <xf numFmtId="0" fontId="0" fillId="0" borderId="12" xfId="0" applyBorder="1"/>
    <xf numFmtId="0" fontId="4" fillId="0" borderId="12" xfId="0" applyFont="1" applyBorder="1"/>
    <xf numFmtId="0" fontId="0" fillId="0" borderId="13" xfId="0" applyBorder="1"/>
    <xf numFmtId="0" fontId="7" fillId="0" borderId="12" xfId="0" applyFont="1" applyBorder="1"/>
    <xf numFmtId="0" fontId="3" fillId="0" borderId="12" xfId="0" applyFont="1" applyBorder="1"/>
    <xf numFmtId="0" fontId="0" fillId="0" borderId="14" xfId="0" applyBorder="1"/>
    <xf numFmtId="0" fontId="0" fillId="0" borderId="0" xfId="0" applyBorder="1"/>
    <xf numFmtId="0" fontId="10" fillId="0" borderId="0" xfId="3" applyFont="1"/>
    <xf numFmtId="0" fontId="9" fillId="0" borderId="0" xfId="3"/>
    <xf numFmtId="14" fontId="9" fillId="0" borderId="0" xfId="3" applyNumberFormat="1" applyAlignment="1">
      <alignment horizontal="left"/>
    </xf>
    <xf numFmtId="0" fontId="4" fillId="0" borderId="0" xfId="3" applyFont="1"/>
    <xf numFmtId="167" fontId="9" fillId="0" borderId="0" xfId="3" applyNumberFormat="1" applyBorder="1" applyAlignment="1">
      <alignment horizontal="right"/>
    </xf>
    <xf numFmtId="0" fontId="9" fillId="0" borderId="0" xfId="3" applyAlignment="1">
      <alignment horizontal="right"/>
    </xf>
    <xf numFmtId="0" fontId="10" fillId="0" borderId="0" xfId="3" applyFont="1" applyBorder="1"/>
    <xf numFmtId="0" fontId="10" fillId="0" borderId="15" xfId="3" applyFont="1" applyBorder="1" applyAlignment="1">
      <alignment horizontal="center" wrapText="1"/>
    </xf>
    <xf numFmtId="0" fontId="7" fillId="0" borderId="16" xfId="3" applyFont="1" applyBorder="1" applyAlignment="1">
      <alignment horizontal="center"/>
    </xf>
    <xf numFmtId="0" fontId="10" fillId="0" borderId="16" xfId="3" applyFont="1" applyBorder="1" applyAlignment="1">
      <alignment horizontal="center"/>
    </xf>
    <xf numFmtId="0" fontId="10" fillId="0" borderId="16" xfId="3" applyFont="1" applyBorder="1" applyAlignment="1">
      <alignment horizontal="center" wrapText="1"/>
    </xf>
    <xf numFmtId="0" fontId="10" fillId="0" borderId="15" xfId="3" applyFont="1" applyBorder="1" applyAlignment="1">
      <alignment horizontal="center"/>
    </xf>
    <xf numFmtId="0" fontId="6" fillId="0" borderId="15" xfId="3" applyFont="1" applyBorder="1" applyAlignment="1">
      <alignment horizontal="center" wrapText="1"/>
    </xf>
    <xf numFmtId="0" fontId="6" fillId="0" borderId="0" xfId="3" applyFont="1" applyBorder="1" applyAlignment="1">
      <alignment horizontal="center" wrapText="1"/>
    </xf>
    <xf numFmtId="0" fontId="6" fillId="0" borderId="0" xfId="3" applyFont="1"/>
    <xf numFmtId="0" fontId="9" fillId="0" borderId="0" xfId="3" applyBorder="1" applyAlignment="1">
      <alignment horizontal="right"/>
    </xf>
    <xf numFmtId="0" fontId="9" fillId="0" borderId="0" xfId="3" applyBorder="1"/>
    <xf numFmtId="167" fontId="9" fillId="0" borderId="0" xfId="3" applyNumberFormat="1"/>
    <xf numFmtId="167" fontId="9" fillId="0" borderId="7" xfId="3" applyNumberFormat="1" applyBorder="1"/>
    <xf numFmtId="167" fontId="9" fillId="0" borderId="0" xfId="3" applyNumberFormat="1" applyBorder="1"/>
    <xf numFmtId="168" fontId="9" fillId="0" borderId="0" xfId="3" applyNumberFormat="1"/>
    <xf numFmtId="168" fontId="9" fillId="0" borderId="0" xfId="3" applyNumberFormat="1" applyBorder="1"/>
    <xf numFmtId="0" fontId="10" fillId="0" borderId="0" xfId="0" applyFont="1"/>
    <xf numFmtId="164" fontId="4" fillId="0" borderId="15" xfId="0" applyNumberFormat="1" applyFont="1" applyBorder="1"/>
    <xf numFmtId="0" fontId="8" fillId="0" borderId="0" xfId="3" applyFont="1" applyAlignment="1">
      <alignment horizontal="left" wrapText="1"/>
    </xf>
    <xf numFmtId="0" fontId="9" fillId="0" borderId="0" xfId="3" applyFill="1" applyAlignment="1">
      <alignment horizontal="left"/>
    </xf>
    <xf numFmtId="167" fontId="9" fillId="0" borderId="0" xfId="3" applyNumberFormat="1" applyFill="1"/>
    <xf numFmtId="0" fontId="0" fillId="0" borderId="0" xfId="0" applyProtection="1"/>
    <xf numFmtId="0" fontId="9" fillId="0" borderId="7" xfId="3" applyBorder="1"/>
    <xf numFmtId="0" fontId="9" fillId="0" borderId="11" xfId="3" applyBorder="1"/>
    <xf numFmtId="0" fontId="9" fillId="0" borderId="10" xfId="3" applyBorder="1"/>
    <xf numFmtId="0" fontId="10" fillId="0" borderId="16" xfId="3" applyFont="1" applyBorder="1"/>
    <xf numFmtId="0" fontId="10" fillId="0" borderId="18" xfId="3" applyFont="1" applyBorder="1"/>
    <xf numFmtId="0" fontId="10" fillId="0" borderId="19" xfId="3" applyFont="1" applyBorder="1"/>
    <xf numFmtId="0" fontId="11" fillId="0" borderId="0" xfId="0" applyFont="1"/>
    <xf numFmtId="0" fontId="4" fillId="2" borderId="16" xfId="3" applyFont="1" applyFill="1" applyBorder="1" applyAlignment="1">
      <alignment textRotation="90"/>
    </xf>
    <xf numFmtId="49" fontId="4" fillId="0" borderId="0" xfId="0" applyNumberFormat="1" applyFont="1"/>
    <xf numFmtId="0" fontId="3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44" fontId="12" fillId="0" borderId="0" xfId="2" applyFont="1" applyBorder="1">
      <alignment wrapText="1"/>
    </xf>
    <xf numFmtId="0" fontId="12" fillId="0" borderId="0" xfId="0" applyFont="1"/>
    <xf numFmtId="167" fontId="9" fillId="0" borderId="20" xfId="3" applyNumberFormat="1" applyBorder="1"/>
    <xf numFmtId="0" fontId="9" fillId="0" borderId="20" xfId="3" applyBorder="1"/>
    <xf numFmtId="0" fontId="9" fillId="0" borderId="21" xfId="3" applyBorder="1"/>
    <xf numFmtId="167" fontId="9" fillId="0" borderId="7" xfId="3" applyNumberFormat="1" applyFill="1" applyBorder="1"/>
    <xf numFmtId="0" fontId="9" fillId="0" borderId="7" xfId="3" applyFill="1" applyBorder="1"/>
    <xf numFmtId="0" fontId="9" fillId="0" borderId="10" xfId="3" applyFill="1" applyBorder="1"/>
    <xf numFmtId="167" fontId="10" fillId="0" borderId="18" xfId="1" applyNumberFormat="1" applyFont="1" applyFill="1" applyBorder="1"/>
    <xf numFmtId="44" fontId="2" fillId="4" borderId="7" xfId="2" applyFill="1" applyBorder="1">
      <alignment wrapText="1"/>
    </xf>
    <xf numFmtId="44" fontId="2" fillId="0" borderId="7" xfId="2" applyFill="1" applyBorder="1">
      <alignment wrapText="1"/>
    </xf>
    <xf numFmtId="0" fontId="9" fillId="2" borderId="24" xfId="3" applyFill="1" applyBorder="1"/>
    <xf numFmtId="164" fontId="3" fillId="0" borderId="15" xfId="2" applyNumberFormat="1" applyFont="1" applyBorder="1">
      <alignment wrapText="1"/>
    </xf>
    <xf numFmtId="10" fontId="10" fillId="0" borderId="19" xfId="3" applyNumberFormat="1" applyFont="1" applyBorder="1" applyAlignment="1">
      <alignment horizontal="center"/>
    </xf>
    <xf numFmtId="166" fontId="12" fillId="0" borderId="0" xfId="5" applyNumberFormat="1" applyFont="1" applyAlignment="1">
      <alignment horizontal="right"/>
    </xf>
    <xf numFmtId="169" fontId="12" fillId="0" borderId="0" xfId="5" applyNumberFormat="1" applyFont="1" applyAlignment="1">
      <alignment horizontal="left"/>
    </xf>
    <xf numFmtId="0" fontId="3" fillId="0" borderId="16" xfId="0" applyFont="1" applyBorder="1"/>
    <xf numFmtId="44" fontId="2" fillId="3" borderId="18" xfId="2" applyFill="1" applyBorder="1">
      <alignment wrapText="1"/>
    </xf>
    <xf numFmtId="44" fontId="0" fillId="0" borderId="7" xfId="2" applyFont="1" applyFill="1" applyBorder="1">
      <alignment wrapText="1"/>
    </xf>
    <xf numFmtId="0" fontId="10" fillId="0" borderId="0" xfId="4" applyFont="1"/>
    <xf numFmtId="0" fontId="9" fillId="0" borderId="0" xfId="4"/>
    <xf numFmtId="164" fontId="10" fillId="0" borderId="0" xfId="2" applyNumberFormat="1" applyFont="1">
      <alignment wrapText="1"/>
    </xf>
    <xf numFmtId="0" fontId="10" fillId="0" borderId="0" xfId="4" applyFont="1" applyAlignment="1">
      <alignment horizontal="center"/>
    </xf>
    <xf numFmtId="165" fontId="9" fillId="0" borderId="0" xfId="4" applyNumberFormat="1"/>
    <xf numFmtId="0" fontId="10" fillId="0" borderId="17" xfId="4" applyFont="1" applyBorder="1"/>
    <xf numFmtId="0" fontId="10" fillId="0" borderId="17" xfId="4" applyFont="1" applyBorder="1" applyAlignment="1">
      <alignment horizontal="center" wrapText="1"/>
    </xf>
    <xf numFmtId="0" fontId="10" fillId="0" borderId="24" xfId="4" applyFont="1" applyBorder="1" applyAlignment="1">
      <alignment horizontal="center" wrapText="1"/>
    </xf>
    <xf numFmtId="0" fontId="10" fillId="0" borderId="25" xfId="4" applyFont="1" applyBorder="1" applyAlignment="1">
      <alignment horizontal="center" wrapText="1"/>
    </xf>
    <xf numFmtId="0" fontId="9" fillId="0" borderId="0" xfId="4" applyFill="1"/>
    <xf numFmtId="167" fontId="9" fillId="0" borderId="1" xfId="4" applyNumberFormat="1" applyFill="1" applyBorder="1"/>
    <xf numFmtId="1" fontId="9" fillId="0" borderId="0" xfId="4" applyNumberFormat="1" applyFill="1"/>
    <xf numFmtId="167" fontId="9" fillId="0" borderId="26" xfId="4" applyNumberFormat="1" applyFill="1" applyBorder="1"/>
    <xf numFmtId="165" fontId="9" fillId="0" borderId="0" xfId="4" applyNumberFormat="1" applyFill="1"/>
    <xf numFmtId="167" fontId="9" fillId="0" borderId="0" xfId="4" applyNumberFormat="1" applyFill="1"/>
    <xf numFmtId="167" fontId="9" fillId="0" borderId="0" xfId="4" applyNumberFormat="1" applyFill="1" applyBorder="1"/>
    <xf numFmtId="0" fontId="10" fillId="0" borderId="24" xfId="4" applyFont="1" applyBorder="1"/>
    <xf numFmtId="167" fontId="10" fillId="0" borderId="17" xfId="1" applyNumberFormat="1" applyFont="1" applyBorder="1"/>
    <xf numFmtId="9" fontId="10" fillId="0" borderId="17" xfId="5" applyFont="1" applyBorder="1"/>
    <xf numFmtId="167" fontId="10" fillId="0" borderId="1" xfId="4" applyNumberFormat="1" applyFont="1" applyBorder="1"/>
    <xf numFmtId="167" fontId="10" fillId="0" borderId="2" xfId="4" applyNumberFormat="1" applyFont="1" applyBorder="1"/>
    <xf numFmtId="169" fontId="10" fillId="0" borderId="3" xfId="5" applyNumberFormat="1" applyFont="1" applyBorder="1"/>
    <xf numFmtId="167" fontId="10" fillId="0" borderId="17" xfId="4" applyNumberFormat="1" applyFont="1" applyBorder="1"/>
    <xf numFmtId="0" fontId="9" fillId="0" borderId="1" xfId="4" applyBorder="1"/>
    <xf numFmtId="0" fontId="9" fillId="0" borderId="2" xfId="4" applyBorder="1"/>
    <xf numFmtId="0" fontId="9" fillId="0" borderId="3" xfId="4" applyBorder="1"/>
    <xf numFmtId="0" fontId="9" fillId="0" borderId="26" xfId="4" applyBorder="1"/>
    <xf numFmtId="0" fontId="9" fillId="0" borderId="0" xfId="4" applyBorder="1"/>
    <xf numFmtId="0" fontId="9" fillId="0" borderId="27" xfId="4" applyBorder="1"/>
    <xf numFmtId="7" fontId="8" fillId="0" borderId="0" xfId="2" applyNumberFormat="1" applyFont="1">
      <alignment wrapText="1"/>
    </xf>
    <xf numFmtId="7" fontId="5" fillId="0" borderId="0" xfId="2" applyNumberFormat="1" applyFont="1">
      <alignment wrapText="1"/>
    </xf>
    <xf numFmtId="0" fontId="8" fillId="0" borderId="26" xfId="4" applyFont="1" applyBorder="1"/>
    <xf numFmtId="7" fontId="8" fillId="0" borderId="0" xfId="2" applyNumberFormat="1" applyFont="1" applyBorder="1">
      <alignment wrapText="1"/>
    </xf>
    <xf numFmtId="0" fontId="8" fillId="0" borderId="0" xfId="4" applyFont="1" applyAlignment="1">
      <alignment horizontal="center"/>
    </xf>
    <xf numFmtId="0" fontId="9" fillId="0" borderId="0" xfId="4" applyAlignment="1">
      <alignment horizontal="center"/>
    </xf>
    <xf numFmtId="0" fontId="8" fillId="0" borderId="4" xfId="4" applyFont="1" applyBorder="1"/>
    <xf numFmtId="0" fontId="9" fillId="0" borderId="5" xfId="4" applyBorder="1"/>
    <xf numFmtId="7" fontId="8" fillId="0" borderId="5" xfId="2" applyNumberFormat="1" applyFont="1" applyBorder="1">
      <alignment wrapText="1"/>
    </xf>
    <xf numFmtId="0" fontId="9" fillId="0" borderId="6" xfId="4" applyBorder="1"/>
    <xf numFmtId="167" fontId="10" fillId="0" borderId="4" xfId="4" applyNumberFormat="1" applyFont="1" applyBorder="1"/>
    <xf numFmtId="0" fontId="10" fillId="0" borderId="5" xfId="4" applyFont="1" applyBorder="1"/>
    <xf numFmtId="0" fontId="8" fillId="0" borderId="0" xfId="4" applyFont="1"/>
    <xf numFmtId="0" fontId="12" fillId="0" borderId="0" xfId="0" applyFont="1" applyAlignment="1">
      <alignment horizontal="left"/>
    </xf>
    <xf numFmtId="43" fontId="0" fillId="0" borderId="0" xfId="0" applyNumberFormat="1"/>
    <xf numFmtId="44" fontId="2" fillId="3" borderId="28" xfId="2" applyFill="1" applyBorder="1">
      <alignment wrapText="1"/>
    </xf>
    <xf numFmtId="43" fontId="3" fillId="0" borderId="15" xfId="0" applyNumberFormat="1" applyFont="1" applyBorder="1"/>
    <xf numFmtId="43" fontId="3" fillId="0" borderId="0" xfId="1" applyFont="1"/>
    <xf numFmtId="43" fontId="2" fillId="0" borderId="0" xfId="1"/>
    <xf numFmtId="43" fontId="2" fillId="0" borderId="0" xfId="1" applyFont="1"/>
    <xf numFmtId="44" fontId="0" fillId="0" borderId="0" xfId="0" applyNumberFormat="1"/>
    <xf numFmtId="44" fontId="2" fillId="0" borderId="12" xfId="2" applyFont="1" applyBorder="1">
      <alignment wrapText="1"/>
    </xf>
    <xf numFmtId="0" fontId="4" fillId="0" borderId="0" xfId="0" applyFont="1"/>
    <xf numFmtId="167" fontId="4" fillId="0" borderId="0" xfId="1" applyNumberFormat="1" applyFont="1"/>
    <xf numFmtId="0" fontId="0" fillId="0" borderId="17" xfId="0" applyBorder="1"/>
    <xf numFmtId="0" fontId="10" fillId="0" borderId="17" xfId="0" applyFont="1" applyBorder="1"/>
    <xf numFmtId="0" fontId="8" fillId="0" borderId="0" xfId="3" applyFont="1" applyFill="1" applyAlignment="1">
      <alignment horizontal="left"/>
    </xf>
    <xf numFmtId="44" fontId="2" fillId="0" borderId="7" xfId="2" applyFont="1" applyBorder="1" applyAlignment="1">
      <alignment horizontal="center"/>
    </xf>
    <xf numFmtId="167" fontId="9" fillId="2" borderId="0" xfId="4" applyNumberFormat="1" applyFill="1" applyBorder="1"/>
    <xf numFmtId="0" fontId="10" fillId="2" borderId="17" xfId="4" applyFont="1" applyFill="1" applyBorder="1" applyAlignment="1">
      <alignment horizontal="center" wrapText="1"/>
    </xf>
    <xf numFmtId="167" fontId="10" fillId="2" borderId="2" xfId="4" applyNumberFormat="1" applyFont="1" applyFill="1" applyBorder="1"/>
    <xf numFmtId="0" fontId="0" fillId="0" borderId="12" xfId="0" applyFill="1" applyBorder="1"/>
    <xf numFmtId="44" fontId="2" fillId="4" borderId="15" xfId="2" applyFont="1" applyFill="1" applyBorder="1" applyAlignment="1">
      <alignment horizontal="right"/>
    </xf>
    <xf numFmtId="0" fontId="9" fillId="0" borderId="0" xfId="4" applyFill="1" applyAlignment="1">
      <alignment horizontal="center"/>
    </xf>
    <xf numFmtId="167" fontId="10" fillId="0" borderId="19" xfId="1" applyNumberFormat="1" applyFont="1" applyBorder="1"/>
    <xf numFmtId="167" fontId="10" fillId="4" borderId="15" xfId="1" applyNumberFormat="1" applyFont="1" applyFill="1" applyBorder="1"/>
    <xf numFmtId="0" fontId="9" fillId="0" borderId="29" xfId="3" applyBorder="1" applyAlignment="1">
      <alignment horizontal="center"/>
    </xf>
    <xf numFmtId="0" fontId="9" fillId="0" borderId="30" xfId="3" applyBorder="1" applyAlignment="1">
      <alignment horizontal="center"/>
    </xf>
    <xf numFmtId="0" fontId="9" fillId="0" borderId="31" xfId="3" applyBorder="1" applyAlignment="1">
      <alignment horizontal="center"/>
    </xf>
    <xf numFmtId="44" fontId="0" fillId="0" borderId="19" xfId="2" applyFont="1" applyBorder="1">
      <alignment wrapText="1"/>
    </xf>
    <xf numFmtId="0" fontId="3" fillId="5" borderId="12" xfId="0" applyFont="1" applyFill="1" applyBorder="1"/>
    <xf numFmtId="0" fontId="4" fillId="0" borderId="0" xfId="4" applyFont="1" applyFill="1"/>
    <xf numFmtId="0" fontId="0" fillId="6" borderId="5" xfId="0" applyFill="1" applyBorder="1"/>
    <xf numFmtId="0" fontId="3" fillId="6" borderId="5" xfId="0" applyFont="1" applyFill="1" applyBorder="1"/>
    <xf numFmtId="0" fontId="3" fillId="0" borderId="0" xfId="0" applyFont="1" applyFill="1"/>
    <xf numFmtId="0" fontId="0" fillId="0" borderId="0" xfId="0" applyFill="1"/>
    <xf numFmtId="43" fontId="2" fillId="0" borderId="0" xfId="1" applyFill="1" applyBorder="1"/>
    <xf numFmtId="164" fontId="10" fillId="0" borderId="20" xfId="2" applyNumberFormat="1" applyFont="1" applyBorder="1">
      <alignment wrapText="1"/>
    </xf>
    <xf numFmtId="0" fontId="7" fillId="0" borderId="0" xfId="4" applyFont="1"/>
    <xf numFmtId="44" fontId="0" fillId="0" borderId="7" xfId="2" applyFont="1" applyBorder="1">
      <alignment wrapText="1"/>
    </xf>
    <xf numFmtId="0" fontId="14" fillId="0" borderId="0" xfId="0" applyFont="1"/>
    <xf numFmtId="44" fontId="2" fillId="7" borderId="7" xfId="2" applyFill="1" applyBorder="1">
      <alignment wrapText="1"/>
    </xf>
    <xf numFmtId="0" fontId="10" fillId="0" borderId="12" xfId="0" applyFont="1" applyBorder="1"/>
    <xf numFmtId="0" fontId="10" fillId="8" borderId="17" xfId="4" applyFont="1" applyFill="1" applyBorder="1" applyAlignment="1">
      <alignment horizontal="center" wrapText="1"/>
    </xf>
    <xf numFmtId="167" fontId="9" fillId="8" borderId="0" xfId="4" applyNumberFormat="1" applyFill="1" applyBorder="1"/>
    <xf numFmtId="167" fontId="10" fillId="8" borderId="2" xfId="4" applyNumberFormat="1" applyFont="1" applyFill="1" applyBorder="1"/>
    <xf numFmtId="0" fontId="4" fillId="0" borderId="10" xfId="3" applyFont="1" applyBorder="1"/>
    <xf numFmtId="164" fontId="3" fillId="0" borderId="15" xfId="2" applyNumberFormat="1" applyFont="1" applyBorder="1" applyAlignment="1">
      <alignment horizontal="right" wrapText="1"/>
    </xf>
    <xf numFmtId="0" fontId="10" fillId="0" borderId="0" xfId="0" applyFont="1" applyAlignment="1">
      <alignment horizontal="center"/>
    </xf>
    <xf numFmtId="167" fontId="0" fillId="0" borderId="28" xfId="1" applyNumberFormat="1" applyFont="1" applyBorder="1"/>
    <xf numFmtId="0" fontId="0" fillId="0" borderId="28" xfId="0" applyBorder="1"/>
    <xf numFmtId="0" fontId="9" fillId="4" borderId="35" xfId="3" applyFill="1" applyBorder="1"/>
    <xf numFmtId="0" fontId="0" fillId="0" borderId="36" xfId="0" applyBorder="1"/>
    <xf numFmtId="167" fontId="3" fillId="0" borderId="17" xfId="0" applyNumberFormat="1" applyFont="1" applyBorder="1"/>
    <xf numFmtId="0" fontId="10" fillId="2" borderId="15" xfId="3" applyFont="1" applyFill="1" applyBorder="1" applyAlignment="1">
      <alignment horizontal="center" wrapText="1"/>
    </xf>
    <xf numFmtId="44" fontId="2" fillId="9" borderId="7" xfId="2" applyFill="1" applyBorder="1">
      <alignment wrapText="1"/>
    </xf>
    <xf numFmtId="43" fontId="2" fillId="0" borderId="0" xfId="1" applyFill="1"/>
    <xf numFmtId="43" fontId="3" fillId="0" borderId="15" xfId="0" applyNumberFormat="1" applyFont="1" applyFill="1" applyBorder="1"/>
    <xf numFmtId="0" fontId="0" fillId="0" borderId="0" xfId="0" applyAlignment="1">
      <alignment horizontal="right"/>
    </xf>
    <xf numFmtId="0" fontId="4" fillId="2" borderId="18" xfId="3" applyFont="1" applyFill="1" applyBorder="1" applyAlignment="1">
      <alignment horizontal="center" wrapText="1"/>
    </xf>
    <xf numFmtId="0" fontId="4" fillId="2" borderId="37" xfId="3" applyFont="1" applyFill="1" applyBorder="1" applyAlignment="1">
      <alignment horizontal="center" wrapText="1"/>
    </xf>
    <xf numFmtId="0" fontId="9" fillId="0" borderId="25" xfId="4" applyBorder="1"/>
    <xf numFmtId="167" fontId="10" fillId="0" borderId="5" xfId="4" applyNumberFormat="1" applyFont="1" applyBorder="1"/>
    <xf numFmtId="167" fontId="10" fillId="0" borderId="24" xfId="4" applyNumberFormat="1" applyFont="1" applyBorder="1"/>
    <xf numFmtId="167" fontId="10" fillId="0" borderId="25" xfId="1" applyNumberFormat="1" applyFont="1" applyBorder="1"/>
    <xf numFmtId="0" fontId="3" fillId="0" borderId="0" xfId="0" applyFont="1" applyAlignment="1">
      <alignment horizontal="center"/>
    </xf>
    <xf numFmtId="0" fontId="10" fillId="0" borderId="0" xfId="3" applyFont="1" applyBorder="1" applyAlignment="1">
      <alignment horizontal="center"/>
    </xf>
    <xf numFmtId="44" fontId="2" fillId="7" borderId="7" xfId="2" applyFont="1" applyFill="1" applyBorder="1">
      <alignment wrapText="1"/>
    </xf>
    <xf numFmtId="0" fontId="2" fillId="0" borderId="0" xfId="0" applyFont="1" applyAlignment="1">
      <alignment horizontal="right"/>
    </xf>
    <xf numFmtId="0" fontId="2" fillId="0" borderId="0" xfId="0" applyFont="1"/>
    <xf numFmtId="0" fontId="4" fillId="2" borderId="17" xfId="3" applyFont="1" applyFill="1" applyBorder="1"/>
    <xf numFmtId="0" fontId="4" fillId="2" borderId="23" xfId="3" applyFont="1" applyFill="1" applyBorder="1" applyAlignment="1">
      <alignment horizontal="center" wrapText="1"/>
    </xf>
    <xf numFmtId="0" fontId="4" fillId="2" borderId="19" xfId="3" applyFont="1" applyFill="1" applyBorder="1" applyAlignment="1">
      <alignment horizontal="center" wrapText="1"/>
    </xf>
    <xf numFmtId="0" fontId="4" fillId="0" borderId="11" xfId="3" applyFont="1" applyBorder="1"/>
    <xf numFmtId="10" fontId="4" fillId="0" borderId="11" xfId="5" applyNumberFormat="1" applyFont="1" applyBorder="1" applyAlignment="1">
      <alignment horizontal="center"/>
    </xf>
    <xf numFmtId="164" fontId="4" fillId="0" borderId="11" xfId="2" applyNumberFormat="1" applyFont="1" applyFill="1" applyBorder="1">
      <alignment wrapText="1"/>
    </xf>
    <xf numFmtId="164" fontId="4" fillId="0" borderId="33" xfId="2" applyNumberFormat="1" applyFont="1" applyFill="1" applyBorder="1">
      <alignment wrapText="1"/>
    </xf>
    <xf numFmtId="164" fontId="4" fillId="4" borderId="32" xfId="2" applyNumberFormat="1" applyFont="1" applyFill="1" applyBorder="1">
      <alignment wrapText="1"/>
    </xf>
    <xf numFmtId="164" fontId="4" fillId="0" borderId="34" xfId="2" applyNumberFormat="1" applyFont="1" applyFill="1" applyBorder="1">
      <alignment wrapText="1"/>
    </xf>
    <xf numFmtId="164" fontId="4" fillId="0" borderId="11" xfId="0" applyNumberFormat="1" applyFont="1" applyBorder="1"/>
    <xf numFmtId="0" fontId="4" fillId="0" borderId="7" xfId="3" applyFont="1" applyBorder="1"/>
    <xf numFmtId="167" fontId="4" fillId="4" borderId="22" xfId="1" applyNumberFormat="1" applyFont="1" applyFill="1" applyBorder="1"/>
    <xf numFmtId="167" fontId="4" fillId="0" borderId="21" xfId="1" applyNumberFormat="1" applyFont="1" applyBorder="1"/>
    <xf numFmtId="164" fontId="10" fillId="0" borderId="7" xfId="4" applyNumberFormat="1" applyFont="1" applyBorder="1"/>
    <xf numFmtId="164" fontId="10" fillId="4" borderId="7" xfId="4" applyNumberFormat="1" applyFont="1" applyFill="1" applyBorder="1"/>
    <xf numFmtId="164" fontId="10" fillId="8" borderId="25" xfId="4" applyNumberFormat="1" applyFont="1" applyFill="1" applyBorder="1"/>
    <xf numFmtId="164" fontId="10" fillId="0" borderId="25" xfId="4" applyNumberFormat="1" applyFont="1" applyBorder="1"/>
    <xf numFmtId="10" fontId="4" fillId="0" borderId="0" xfId="5" applyNumberFormat="1" applyFont="1" applyFill="1"/>
    <xf numFmtId="167" fontId="4" fillId="0" borderId="0" xfId="1" applyNumberFormat="1" applyFont="1" applyFill="1"/>
    <xf numFmtId="10" fontId="4" fillId="5" borderId="0" xfId="5" applyNumberFormat="1" applyFont="1" applyFill="1"/>
    <xf numFmtId="167" fontId="4" fillId="0" borderId="0" xfId="1" applyNumberFormat="1" applyFont="1" applyFill="1" applyBorder="1"/>
    <xf numFmtId="167" fontId="4" fillId="8" borderId="2" xfId="1" applyNumberFormat="1" applyFont="1" applyFill="1" applyBorder="1"/>
    <xf numFmtId="167" fontId="4" fillId="2" borderId="2" xfId="1" applyNumberFormat="1" applyFont="1" applyFill="1" applyBorder="1"/>
    <xf numFmtId="167" fontId="4" fillId="0" borderId="2" xfId="1" applyNumberFormat="1" applyFont="1" applyFill="1" applyBorder="1"/>
    <xf numFmtId="169" fontId="4" fillId="0" borderId="3" xfId="5" applyNumberFormat="1" applyFont="1" applyFill="1" applyBorder="1"/>
    <xf numFmtId="43" fontId="4" fillId="0" borderId="0" xfId="1" applyNumberFormat="1" applyFont="1" applyFill="1"/>
    <xf numFmtId="169" fontId="4" fillId="0" borderId="27" xfId="5" applyNumberFormat="1" applyFont="1" applyFill="1" applyBorder="1"/>
    <xf numFmtId="167" fontId="4" fillId="0" borderId="26" xfId="1" applyNumberFormat="1" applyFont="1" applyBorder="1"/>
    <xf numFmtId="167" fontId="4" fillId="0" borderId="0" xfId="1" applyNumberFormat="1" applyFont="1" applyBorder="1"/>
    <xf numFmtId="167" fontId="4" fillId="0" borderId="0" xfId="1" applyNumberFormat="1" applyFont="1" applyBorder="1" applyAlignment="1">
      <alignment horizontal="right"/>
    </xf>
    <xf numFmtId="164" fontId="4" fillId="0" borderId="0" xfId="2" applyNumberFormat="1" applyFont="1" applyBorder="1">
      <alignment wrapText="1"/>
    </xf>
    <xf numFmtId="164" fontId="4" fillId="0" borderId="7" xfId="2" applyNumberFormat="1" applyFont="1" applyBorder="1" applyAlignment="1">
      <alignment horizontal="right"/>
    </xf>
    <xf numFmtId="43" fontId="4" fillId="0" borderId="0" xfId="1" applyFont="1"/>
    <xf numFmtId="9" fontId="4" fillId="0" borderId="7" xfId="5" applyFont="1" applyBorder="1" applyAlignment="1">
      <alignment horizontal="right"/>
    </xf>
    <xf numFmtId="164" fontId="4" fillId="0" borderId="15" xfId="2" applyNumberFormat="1" applyFont="1" applyBorder="1">
      <alignment wrapText="1"/>
    </xf>
    <xf numFmtId="0" fontId="0" fillId="6" borderId="5" xfId="0" applyFill="1" applyBorder="1" applyAlignment="1">
      <alignment horizontal="right"/>
    </xf>
    <xf numFmtId="44" fontId="2" fillId="0" borderId="7" xfId="2" applyBorder="1">
      <alignment wrapText="1"/>
    </xf>
    <xf numFmtId="44" fontId="2" fillId="3" borderId="7" xfId="2" applyFill="1" applyBorder="1">
      <alignment wrapText="1"/>
    </xf>
    <xf numFmtId="0" fontId="10" fillId="0" borderId="0" xfId="0" applyFont="1"/>
    <xf numFmtId="164" fontId="4" fillId="0" borderId="15" xfId="0" applyNumberFormat="1" applyFont="1" applyBorder="1"/>
    <xf numFmtId="44" fontId="2" fillId="0" borderId="7" xfId="2" applyFill="1" applyBorder="1">
      <alignment wrapText="1"/>
    </xf>
    <xf numFmtId="44" fontId="0" fillId="0" borderId="7" xfId="2" applyFont="1" applyFill="1" applyBorder="1">
      <alignment wrapText="1"/>
    </xf>
    <xf numFmtId="0" fontId="10" fillId="0" borderId="17" xfId="58" applyFont="1" applyBorder="1" applyAlignment="1">
      <alignment horizontal="center" wrapText="1"/>
    </xf>
    <xf numFmtId="0" fontId="10" fillId="0" borderId="24" xfId="58" applyFont="1" applyBorder="1" applyAlignment="1">
      <alignment horizontal="center" wrapText="1"/>
    </xf>
    <xf numFmtId="167" fontId="4" fillId="0" borderId="1" xfId="58" applyNumberFormat="1" applyFill="1" applyBorder="1"/>
    <xf numFmtId="167" fontId="4" fillId="0" borderId="26" xfId="58" applyNumberFormat="1" applyFill="1" applyBorder="1"/>
    <xf numFmtId="167" fontId="4" fillId="0" borderId="0" xfId="58" applyNumberFormat="1" applyFill="1" applyBorder="1"/>
    <xf numFmtId="43" fontId="3" fillId="0" borderId="15" xfId="0" applyNumberFormat="1" applyFont="1" applyBorder="1"/>
    <xf numFmtId="43" fontId="2" fillId="0" borderId="0" xfId="1"/>
    <xf numFmtId="44" fontId="0" fillId="0" borderId="0" xfId="0" applyNumberFormat="1"/>
    <xf numFmtId="167" fontId="4" fillId="0" borderId="0" xfId="1" applyNumberFormat="1" applyFont="1"/>
    <xf numFmtId="43" fontId="3" fillId="0" borderId="15" xfId="0" applyNumberFormat="1" applyFont="1" applyFill="1" applyBorder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  <xf numFmtId="167" fontId="4" fillId="0" borderId="0" xfId="1" applyNumberFormat="1" applyFont="1" applyFill="1" applyBorder="1"/>
    <xf numFmtId="167" fontId="4" fillId="0" borderId="2" xfId="1" applyNumberFormat="1" applyFont="1" applyFill="1" applyBorder="1"/>
    <xf numFmtId="164" fontId="4" fillId="0" borderId="0" xfId="2" applyNumberFormat="1" applyFont="1" applyBorder="1">
      <alignment wrapText="1"/>
    </xf>
    <xf numFmtId="164" fontId="4" fillId="0" borderId="15" xfId="2" applyNumberFormat="1" applyFont="1" applyBorder="1">
      <alignment wrapText="1"/>
    </xf>
    <xf numFmtId="0" fontId="10" fillId="0" borderId="17" xfId="58" applyFont="1" applyFill="1" applyBorder="1" applyAlignment="1">
      <alignment horizontal="center" wrapText="1"/>
    </xf>
    <xf numFmtId="0" fontId="35" fillId="0" borderId="0" xfId="0" applyFont="1"/>
    <xf numFmtId="43" fontId="0" fillId="42" borderId="0" xfId="0" applyNumberFormat="1" applyFill="1"/>
    <xf numFmtId="44" fontId="2" fillId="0" borderId="32" xfId="2" applyFont="1" applyFill="1" applyBorder="1" applyAlignment="1">
      <alignment horizontal="right"/>
    </xf>
    <xf numFmtId="0" fontId="0" fillId="0" borderId="0" xfId="0"/>
    <xf numFmtId="0" fontId="3" fillId="0" borderId="0" xfId="0" applyFont="1"/>
    <xf numFmtId="0" fontId="35" fillId="0" borderId="12" xfId="0" applyFont="1" applyFill="1" applyBorder="1"/>
    <xf numFmtId="0" fontId="0" fillId="0" borderId="7" xfId="0" applyBorder="1" applyAlignment="1">
      <alignment horizontal="center"/>
    </xf>
    <xf numFmtId="0" fontId="0" fillId="0" borderId="12" xfId="0" applyFill="1" applyBorder="1"/>
    <xf numFmtId="167" fontId="10" fillId="0" borderId="17" xfId="1" applyNumberFormat="1" applyFont="1" applyFill="1" applyBorder="1"/>
    <xf numFmtId="170" fontId="0" fillId="0" borderId="0" xfId="0" applyNumberFormat="1"/>
    <xf numFmtId="3" fontId="9" fillId="0" borderId="0" xfId="4" applyNumberFormat="1" applyFill="1"/>
    <xf numFmtId="44" fontId="2" fillId="0" borderId="7" xfId="2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3" fillId="2" borderId="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44" fontId="2" fillId="0" borderId="7" xfId="2" applyBorder="1" applyAlignment="1">
      <alignment wrapText="1"/>
    </xf>
    <xf numFmtId="44" fontId="2" fillId="0" borderId="7" xfId="2" applyFont="1" applyBorder="1" applyAlignment="1">
      <alignment horizontal="center" wrapText="1"/>
    </xf>
    <xf numFmtId="44" fontId="2" fillId="7" borderId="7" xfId="2" applyFont="1" applyFill="1" applyBorder="1" applyAlignment="1">
      <alignment horizontal="center" wrapText="1"/>
    </xf>
    <xf numFmtId="44" fontId="2" fillId="7" borderId="7" xfId="2" applyFont="1" applyFill="1" applyBorder="1" applyAlignment="1">
      <alignment wrapText="1"/>
    </xf>
    <xf numFmtId="44" fontId="2" fillId="7" borderId="7" xfId="2" applyFill="1" applyBorder="1" applyAlignment="1">
      <alignment wrapText="1"/>
    </xf>
    <xf numFmtId="44" fontId="2" fillId="0" borderId="7" xfId="2" applyFill="1" applyBorder="1" applyAlignment="1">
      <alignment wrapText="1"/>
    </xf>
    <xf numFmtId="44" fontId="2" fillId="4" borderId="7" xfId="2" applyFill="1" applyBorder="1" applyAlignment="1">
      <alignment wrapText="1"/>
    </xf>
    <xf numFmtId="44" fontId="2" fillId="0" borderId="10" xfId="2" applyBorder="1" applyAlignment="1">
      <alignment wrapText="1"/>
    </xf>
    <xf numFmtId="44" fontId="0" fillId="0" borderId="19" xfId="2" applyFont="1" applyBorder="1" applyAlignment="1">
      <alignment wrapText="1"/>
    </xf>
    <xf numFmtId="44" fontId="2" fillId="0" borderId="11" xfId="2" applyBorder="1" applyAlignment="1">
      <alignment wrapText="1"/>
    </xf>
    <xf numFmtId="44" fontId="2" fillId="10" borderId="7" xfId="2" applyFill="1" applyBorder="1" applyAlignment="1">
      <alignment wrapText="1"/>
    </xf>
    <xf numFmtId="44" fontId="2" fillId="4" borderId="15" xfId="2" applyFont="1" applyFill="1" applyBorder="1" applyAlignment="1">
      <alignment horizontal="right" wrapText="1"/>
    </xf>
    <xf numFmtId="44" fontId="35" fillId="0" borderId="7" xfId="2" applyFont="1" applyBorder="1" applyAlignment="1">
      <alignment horizontal="center" wrapText="1"/>
    </xf>
    <xf numFmtId="44" fontId="35" fillId="0" borderId="7" xfId="2" applyFont="1" applyFill="1" applyBorder="1" applyAlignment="1">
      <alignment horizontal="center" wrapText="1"/>
    </xf>
    <xf numFmtId="44" fontId="13" fillId="0" borderId="0" xfId="2" applyFont="1" applyFill="1" applyAlignment="1">
      <alignment horizontal="left"/>
    </xf>
    <xf numFmtId="3" fontId="38" fillId="0" borderId="0" xfId="0" applyNumberFormat="1" applyFont="1" applyFill="1" applyBorder="1" applyAlignment="1" applyProtection="1">
      <alignment horizontal="right" vertical="top" wrapText="1"/>
    </xf>
    <xf numFmtId="171" fontId="0" fillId="0" borderId="0" xfId="0" applyNumberFormat="1" applyAlignment="1">
      <alignment wrapText="1"/>
    </xf>
    <xf numFmtId="171" fontId="2" fillId="7" borderId="7" xfId="2" applyNumberFormat="1" applyFill="1" applyBorder="1">
      <alignment wrapText="1"/>
    </xf>
    <xf numFmtId="171" fontId="2" fillId="7" borderId="7" xfId="2" applyNumberFormat="1" applyFont="1" applyFill="1" applyBorder="1">
      <alignment wrapText="1"/>
    </xf>
    <xf numFmtId="171" fontId="2" fillId="4" borderId="7" xfId="2" applyNumberFormat="1" applyFill="1" applyBorder="1">
      <alignment wrapText="1"/>
    </xf>
    <xf numFmtId="171" fontId="2" fillId="4" borderId="15" xfId="2" applyNumberFormat="1" applyFont="1" applyFill="1" applyBorder="1" applyAlignment="1">
      <alignment horizontal="right"/>
    </xf>
    <xf numFmtId="171" fontId="2" fillId="0" borderId="11" xfId="2" applyNumberFormat="1" applyBorder="1" applyAlignment="1">
      <alignment wrapText="1"/>
    </xf>
    <xf numFmtId="44" fontId="4" fillId="0" borderId="12" xfId="2" applyFont="1" applyBorder="1">
      <alignment wrapText="1"/>
    </xf>
    <xf numFmtId="44" fontId="35" fillId="0" borderId="12" xfId="2" applyFont="1" applyBorder="1">
      <alignment wrapText="1"/>
    </xf>
    <xf numFmtId="44" fontId="0" fillId="0" borderId="12" xfId="2" applyFont="1" applyBorder="1">
      <alignment wrapText="1"/>
    </xf>
    <xf numFmtId="44" fontId="2" fillId="7" borderId="12" xfId="2" applyFont="1" applyFill="1" applyBorder="1" applyAlignment="1">
      <alignment horizontal="center"/>
    </xf>
    <xf numFmtId="44" fontId="2" fillId="0" borderId="12" xfId="2" applyFont="1" applyBorder="1" applyAlignment="1">
      <alignment wrapText="1"/>
    </xf>
    <xf numFmtId="44" fontId="35" fillId="0" borderId="12" xfId="2" applyFont="1" applyBorder="1" applyAlignment="1">
      <alignment wrapText="1"/>
    </xf>
    <xf numFmtId="44" fontId="4" fillId="0" borderId="12" xfId="2" applyFont="1" applyBorder="1" applyAlignment="1">
      <alignment wrapText="1"/>
    </xf>
    <xf numFmtId="44" fontId="2" fillId="0" borderId="12" xfId="2" applyBorder="1">
      <alignment wrapText="1"/>
    </xf>
    <xf numFmtId="44" fontId="2" fillId="0" borderId="12" xfId="2" applyFont="1" applyFill="1" applyBorder="1">
      <alignment wrapText="1"/>
    </xf>
    <xf numFmtId="44" fontId="2" fillId="10" borderId="12" xfId="2" applyFont="1" applyFill="1" applyBorder="1">
      <alignment wrapText="1"/>
    </xf>
    <xf numFmtId="44" fontId="5" fillId="4" borderId="12" xfId="2" applyFont="1" applyFill="1" applyBorder="1" applyAlignment="1">
      <alignment wrapText="1"/>
    </xf>
    <xf numFmtId="44" fontId="2" fillId="0" borderId="13" xfId="2" applyBorder="1">
      <alignment wrapText="1"/>
    </xf>
    <xf numFmtId="44" fontId="4" fillId="0" borderId="25" xfId="2" applyFont="1" applyBorder="1" applyAlignment="1">
      <alignment horizontal="left"/>
    </xf>
    <xf numFmtId="44" fontId="2" fillId="0" borderId="14" xfId="2" applyBorder="1">
      <alignment wrapText="1"/>
    </xf>
    <xf numFmtId="171" fontId="0" fillId="0" borderId="7" xfId="0" applyNumberFormat="1" applyBorder="1" applyAlignment="1">
      <alignment wrapText="1"/>
    </xf>
    <xf numFmtId="171" fontId="0" fillId="0" borderId="7" xfId="0" applyNumberFormat="1" applyBorder="1"/>
    <xf numFmtId="43" fontId="0" fillId="0" borderId="0" xfId="1" applyFont="1"/>
    <xf numFmtId="44" fontId="10" fillId="4" borderId="7" xfId="4" applyNumberFormat="1" applyFont="1" applyFill="1" applyBorder="1"/>
    <xf numFmtId="171" fontId="0" fillId="0" borderId="19" xfId="2" applyNumberFormat="1" applyFont="1" applyBorder="1">
      <alignment wrapText="1"/>
    </xf>
    <xf numFmtId="0" fontId="3" fillId="0" borderId="0" xfId="0" applyFont="1" applyAlignment="1">
      <alignment horizontal="center"/>
    </xf>
    <xf numFmtId="0" fontId="10" fillId="0" borderId="24" xfId="4" applyFont="1" applyBorder="1" applyAlignment="1">
      <alignment horizontal="center"/>
    </xf>
    <xf numFmtId="0" fontId="10" fillId="0" borderId="17" xfId="4" applyFont="1" applyBorder="1" applyAlignment="1">
      <alignment horizontal="center"/>
    </xf>
    <xf numFmtId="0" fontId="10" fillId="0" borderId="25" xfId="4" applyFont="1" applyBorder="1" applyAlignment="1">
      <alignment horizontal="center"/>
    </xf>
    <xf numFmtId="0" fontId="7" fillId="0" borderId="24" xfId="4" applyFont="1" applyBorder="1" applyAlignment="1">
      <alignment horizontal="center"/>
    </xf>
    <xf numFmtId="0" fontId="7" fillId="0" borderId="17" xfId="4" applyFont="1" applyBorder="1" applyAlignment="1">
      <alignment horizontal="center"/>
    </xf>
    <xf numFmtId="0" fontId="7" fillId="0" borderId="25" xfId="4" applyFont="1" applyBorder="1" applyAlignment="1">
      <alignment horizontal="center"/>
    </xf>
    <xf numFmtId="0" fontId="10" fillId="0" borderId="0" xfId="3" applyFont="1" applyBorder="1" applyAlignment="1">
      <alignment horizontal="center"/>
    </xf>
  </cellXfs>
  <cellStyles count="1084">
    <cellStyle name="20% - Accent1" xfId="35" builtinId="30" customBuiltin="1"/>
    <cellStyle name="20% - Accent1 10" xfId="64"/>
    <cellStyle name="20% - Accent1 11" xfId="65"/>
    <cellStyle name="20% - Accent1 12" xfId="66"/>
    <cellStyle name="20% - Accent1 13" xfId="67"/>
    <cellStyle name="20% - Accent1 14" xfId="68"/>
    <cellStyle name="20% - Accent1 15" xfId="69"/>
    <cellStyle name="20% - Accent1 16" xfId="70"/>
    <cellStyle name="20% - Accent1 17" xfId="71"/>
    <cellStyle name="20% - Accent1 18" xfId="72"/>
    <cellStyle name="20% - Accent1 19" xfId="73"/>
    <cellStyle name="20% - Accent1 2" xfId="74"/>
    <cellStyle name="20% - Accent1 2 10" xfId="75"/>
    <cellStyle name="20% - Accent1 2 11" xfId="76"/>
    <cellStyle name="20% - Accent1 2 12" xfId="77"/>
    <cellStyle name="20% - Accent1 2 13" xfId="78"/>
    <cellStyle name="20% - Accent1 2 14" xfId="79"/>
    <cellStyle name="20% - Accent1 2 15" xfId="80"/>
    <cellStyle name="20% - Accent1 2 16" xfId="81"/>
    <cellStyle name="20% - Accent1 2 17" xfId="82"/>
    <cellStyle name="20% - Accent1 2 18" xfId="83"/>
    <cellStyle name="20% - Accent1 2 19" xfId="84"/>
    <cellStyle name="20% - Accent1 2 2" xfId="85"/>
    <cellStyle name="20% - Accent1 2 20" xfId="86"/>
    <cellStyle name="20% - Accent1 2 21" xfId="87"/>
    <cellStyle name="20% - Accent1 2 22" xfId="88"/>
    <cellStyle name="20% - Accent1 2 23" xfId="89"/>
    <cellStyle name="20% - Accent1 2 24" xfId="90"/>
    <cellStyle name="20% - Accent1 2 25" xfId="91"/>
    <cellStyle name="20% - Accent1 2 26" xfId="92"/>
    <cellStyle name="20% - Accent1 2 27" xfId="93"/>
    <cellStyle name="20% - Accent1 2 3" xfId="94"/>
    <cellStyle name="20% - Accent1 2 4" xfId="95"/>
    <cellStyle name="20% - Accent1 2 5" xfId="96"/>
    <cellStyle name="20% - Accent1 2 6" xfId="97"/>
    <cellStyle name="20% - Accent1 2 7" xfId="98"/>
    <cellStyle name="20% - Accent1 2 8" xfId="99"/>
    <cellStyle name="20% - Accent1 2 9" xfId="100"/>
    <cellStyle name="20% - Accent1 20" xfId="101"/>
    <cellStyle name="20% - Accent1 21" xfId="102"/>
    <cellStyle name="20% - Accent1 22" xfId="103"/>
    <cellStyle name="20% - Accent1 23" xfId="104"/>
    <cellStyle name="20% - Accent1 24" xfId="105"/>
    <cellStyle name="20% - Accent1 25" xfId="106"/>
    <cellStyle name="20% - Accent1 26" xfId="107"/>
    <cellStyle name="20% - Accent1 27" xfId="108"/>
    <cellStyle name="20% - Accent1 28" xfId="109"/>
    <cellStyle name="20% - Accent1 3" xfId="110"/>
    <cellStyle name="20% - Accent1 4" xfId="111"/>
    <cellStyle name="20% - Accent1 5" xfId="112"/>
    <cellStyle name="20% - Accent1 6" xfId="113"/>
    <cellStyle name="20% - Accent1 7" xfId="114"/>
    <cellStyle name="20% - Accent1 8" xfId="115"/>
    <cellStyle name="20% - Accent1 9" xfId="116"/>
    <cellStyle name="20% - Accent2" xfId="39" builtinId="34" customBuiltin="1"/>
    <cellStyle name="20% - Accent2 10" xfId="117"/>
    <cellStyle name="20% - Accent2 11" xfId="118"/>
    <cellStyle name="20% - Accent2 12" xfId="119"/>
    <cellStyle name="20% - Accent2 13" xfId="120"/>
    <cellStyle name="20% - Accent2 14" xfId="121"/>
    <cellStyle name="20% - Accent2 15" xfId="122"/>
    <cellStyle name="20% - Accent2 16" xfId="123"/>
    <cellStyle name="20% - Accent2 17" xfId="124"/>
    <cellStyle name="20% - Accent2 18" xfId="125"/>
    <cellStyle name="20% - Accent2 19" xfId="126"/>
    <cellStyle name="20% - Accent2 2" xfId="127"/>
    <cellStyle name="20% - Accent2 2 10" xfId="128"/>
    <cellStyle name="20% - Accent2 2 11" xfId="129"/>
    <cellStyle name="20% - Accent2 2 12" xfId="130"/>
    <cellStyle name="20% - Accent2 2 13" xfId="131"/>
    <cellStyle name="20% - Accent2 2 14" xfId="132"/>
    <cellStyle name="20% - Accent2 2 15" xfId="133"/>
    <cellStyle name="20% - Accent2 2 16" xfId="134"/>
    <cellStyle name="20% - Accent2 2 17" xfId="135"/>
    <cellStyle name="20% - Accent2 2 18" xfId="136"/>
    <cellStyle name="20% - Accent2 2 19" xfId="137"/>
    <cellStyle name="20% - Accent2 2 2" xfId="138"/>
    <cellStyle name="20% - Accent2 2 20" xfId="139"/>
    <cellStyle name="20% - Accent2 2 21" xfId="140"/>
    <cellStyle name="20% - Accent2 2 22" xfId="141"/>
    <cellStyle name="20% - Accent2 2 23" xfId="142"/>
    <cellStyle name="20% - Accent2 2 24" xfId="143"/>
    <cellStyle name="20% - Accent2 2 25" xfId="144"/>
    <cellStyle name="20% - Accent2 2 26" xfId="145"/>
    <cellStyle name="20% - Accent2 2 27" xfId="146"/>
    <cellStyle name="20% - Accent2 2 3" xfId="147"/>
    <cellStyle name="20% - Accent2 2 4" xfId="148"/>
    <cellStyle name="20% - Accent2 2 5" xfId="149"/>
    <cellStyle name="20% - Accent2 2 6" xfId="150"/>
    <cellStyle name="20% - Accent2 2 7" xfId="151"/>
    <cellStyle name="20% - Accent2 2 8" xfId="152"/>
    <cellStyle name="20% - Accent2 2 9" xfId="153"/>
    <cellStyle name="20% - Accent2 20" xfId="154"/>
    <cellStyle name="20% - Accent2 21" xfId="155"/>
    <cellStyle name="20% - Accent2 22" xfId="156"/>
    <cellStyle name="20% - Accent2 23" xfId="157"/>
    <cellStyle name="20% - Accent2 24" xfId="158"/>
    <cellStyle name="20% - Accent2 25" xfId="159"/>
    <cellStyle name="20% - Accent2 26" xfId="160"/>
    <cellStyle name="20% - Accent2 27" xfId="161"/>
    <cellStyle name="20% - Accent2 28" xfId="162"/>
    <cellStyle name="20% - Accent2 3" xfId="163"/>
    <cellStyle name="20% - Accent2 4" xfId="164"/>
    <cellStyle name="20% - Accent2 5" xfId="165"/>
    <cellStyle name="20% - Accent2 6" xfId="166"/>
    <cellStyle name="20% - Accent2 7" xfId="167"/>
    <cellStyle name="20% - Accent2 8" xfId="168"/>
    <cellStyle name="20% - Accent2 9" xfId="169"/>
    <cellStyle name="20% - Accent3" xfId="43" builtinId="38" customBuiltin="1"/>
    <cellStyle name="20% - Accent3 10" xfId="170"/>
    <cellStyle name="20% - Accent3 11" xfId="171"/>
    <cellStyle name="20% - Accent3 12" xfId="172"/>
    <cellStyle name="20% - Accent3 13" xfId="173"/>
    <cellStyle name="20% - Accent3 14" xfId="174"/>
    <cellStyle name="20% - Accent3 15" xfId="175"/>
    <cellStyle name="20% - Accent3 16" xfId="176"/>
    <cellStyle name="20% - Accent3 17" xfId="177"/>
    <cellStyle name="20% - Accent3 18" xfId="178"/>
    <cellStyle name="20% - Accent3 19" xfId="179"/>
    <cellStyle name="20% - Accent3 2" xfId="180"/>
    <cellStyle name="20% - Accent3 2 10" xfId="181"/>
    <cellStyle name="20% - Accent3 2 11" xfId="182"/>
    <cellStyle name="20% - Accent3 2 12" xfId="183"/>
    <cellStyle name="20% - Accent3 2 13" xfId="184"/>
    <cellStyle name="20% - Accent3 2 14" xfId="185"/>
    <cellStyle name="20% - Accent3 2 15" xfId="186"/>
    <cellStyle name="20% - Accent3 2 16" xfId="187"/>
    <cellStyle name="20% - Accent3 2 17" xfId="188"/>
    <cellStyle name="20% - Accent3 2 18" xfId="189"/>
    <cellStyle name="20% - Accent3 2 19" xfId="190"/>
    <cellStyle name="20% - Accent3 2 2" xfId="191"/>
    <cellStyle name="20% - Accent3 2 20" xfId="192"/>
    <cellStyle name="20% - Accent3 2 21" xfId="193"/>
    <cellStyle name="20% - Accent3 2 22" xfId="194"/>
    <cellStyle name="20% - Accent3 2 23" xfId="195"/>
    <cellStyle name="20% - Accent3 2 24" xfId="196"/>
    <cellStyle name="20% - Accent3 2 25" xfId="197"/>
    <cellStyle name="20% - Accent3 2 26" xfId="198"/>
    <cellStyle name="20% - Accent3 2 27" xfId="199"/>
    <cellStyle name="20% - Accent3 2 3" xfId="200"/>
    <cellStyle name="20% - Accent3 2 4" xfId="201"/>
    <cellStyle name="20% - Accent3 2 5" xfId="202"/>
    <cellStyle name="20% - Accent3 2 6" xfId="203"/>
    <cellStyle name="20% - Accent3 2 7" xfId="204"/>
    <cellStyle name="20% - Accent3 2 8" xfId="205"/>
    <cellStyle name="20% - Accent3 2 9" xfId="206"/>
    <cellStyle name="20% - Accent3 20" xfId="207"/>
    <cellStyle name="20% - Accent3 21" xfId="208"/>
    <cellStyle name="20% - Accent3 22" xfId="209"/>
    <cellStyle name="20% - Accent3 23" xfId="210"/>
    <cellStyle name="20% - Accent3 24" xfId="211"/>
    <cellStyle name="20% - Accent3 25" xfId="212"/>
    <cellStyle name="20% - Accent3 26" xfId="213"/>
    <cellStyle name="20% - Accent3 27" xfId="214"/>
    <cellStyle name="20% - Accent3 28" xfId="215"/>
    <cellStyle name="20% - Accent3 3" xfId="216"/>
    <cellStyle name="20% - Accent3 4" xfId="217"/>
    <cellStyle name="20% - Accent3 5" xfId="218"/>
    <cellStyle name="20% - Accent3 6" xfId="219"/>
    <cellStyle name="20% - Accent3 7" xfId="220"/>
    <cellStyle name="20% - Accent3 8" xfId="221"/>
    <cellStyle name="20% - Accent3 9" xfId="222"/>
    <cellStyle name="20% - Accent4" xfId="47" builtinId="42" customBuiltin="1"/>
    <cellStyle name="20% - Accent4 10" xfId="223"/>
    <cellStyle name="20% - Accent4 11" xfId="224"/>
    <cellStyle name="20% - Accent4 12" xfId="225"/>
    <cellStyle name="20% - Accent4 13" xfId="226"/>
    <cellStyle name="20% - Accent4 14" xfId="227"/>
    <cellStyle name="20% - Accent4 15" xfId="228"/>
    <cellStyle name="20% - Accent4 16" xfId="229"/>
    <cellStyle name="20% - Accent4 17" xfId="230"/>
    <cellStyle name="20% - Accent4 18" xfId="231"/>
    <cellStyle name="20% - Accent4 19" xfId="232"/>
    <cellStyle name="20% - Accent4 2" xfId="233"/>
    <cellStyle name="20% - Accent4 2 10" xfId="234"/>
    <cellStyle name="20% - Accent4 2 11" xfId="235"/>
    <cellStyle name="20% - Accent4 2 12" xfId="236"/>
    <cellStyle name="20% - Accent4 2 13" xfId="237"/>
    <cellStyle name="20% - Accent4 2 14" xfId="238"/>
    <cellStyle name="20% - Accent4 2 15" xfId="239"/>
    <cellStyle name="20% - Accent4 2 16" xfId="240"/>
    <cellStyle name="20% - Accent4 2 17" xfId="241"/>
    <cellStyle name="20% - Accent4 2 18" xfId="242"/>
    <cellStyle name="20% - Accent4 2 19" xfId="243"/>
    <cellStyle name="20% - Accent4 2 2" xfId="244"/>
    <cellStyle name="20% - Accent4 2 20" xfId="245"/>
    <cellStyle name="20% - Accent4 2 21" xfId="246"/>
    <cellStyle name="20% - Accent4 2 22" xfId="247"/>
    <cellStyle name="20% - Accent4 2 23" xfId="248"/>
    <cellStyle name="20% - Accent4 2 24" xfId="249"/>
    <cellStyle name="20% - Accent4 2 25" xfId="250"/>
    <cellStyle name="20% - Accent4 2 26" xfId="251"/>
    <cellStyle name="20% - Accent4 2 27" xfId="252"/>
    <cellStyle name="20% - Accent4 2 3" xfId="253"/>
    <cellStyle name="20% - Accent4 2 4" xfId="254"/>
    <cellStyle name="20% - Accent4 2 5" xfId="255"/>
    <cellStyle name="20% - Accent4 2 6" xfId="256"/>
    <cellStyle name="20% - Accent4 2 7" xfId="257"/>
    <cellStyle name="20% - Accent4 2 8" xfId="258"/>
    <cellStyle name="20% - Accent4 2 9" xfId="259"/>
    <cellStyle name="20% - Accent4 20" xfId="260"/>
    <cellStyle name="20% - Accent4 21" xfId="261"/>
    <cellStyle name="20% - Accent4 22" xfId="262"/>
    <cellStyle name="20% - Accent4 23" xfId="263"/>
    <cellStyle name="20% - Accent4 24" xfId="264"/>
    <cellStyle name="20% - Accent4 25" xfId="265"/>
    <cellStyle name="20% - Accent4 26" xfId="266"/>
    <cellStyle name="20% - Accent4 27" xfId="267"/>
    <cellStyle name="20% - Accent4 28" xfId="268"/>
    <cellStyle name="20% - Accent4 3" xfId="269"/>
    <cellStyle name="20% - Accent4 4" xfId="270"/>
    <cellStyle name="20% - Accent4 5" xfId="271"/>
    <cellStyle name="20% - Accent4 6" xfId="272"/>
    <cellStyle name="20% - Accent4 7" xfId="273"/>
    <cellStyle name="20% - Accent4 8" xfId="274"/>
    <cellStyle name="20% - Accent4 9" xfId="275"/>
    <cellStyle name="20% - Accent5" xfId="51" builtinId="46" customBuiltin="1"/>
    <cellStyle name="20% - Accent5 10" xfId="276"/>
    <cellStyle name="20% - Accent5 11" xfId="277"/>
    <cellStyle name="20% - Accent5 12" xfId="278"/>
    <cellStyle name="20% - Accent5 13" xfId="279"/>
    <cellStyle name="20% - Accent5 14" xfId="280"/>
    <cellStyle name="20% - Accent5 15" xfId="281"/>
    <cellStyle name="20% - Accent5 16" xfId="282"/>
    <cellStyle name="20% - Accent5 17" xfId="283"/>
    <cellStyle name="20% - Accent5 18" xfId="284"/>
    <cellStyle name="20% - Accent5 19" xfId="285"/>
    <cellStyle name="20% - Accent5 2" xfId="286"/>
    <cellStyle name="20% - Accent5 2 10" xfId="287"/>
    <cellStyle name="20% - Accent5 2 11" xfId="288"/>
    <cellStyle name="20% - Accent5 2 12" xfId="289"/>
    <cellStyle name="20% - Accent5 2 13" xfId="290"/>
    <cellStyle name="20% - Accent5 2 14" xfId="291"/>
    <cellStyle name="20% - Accent5 2 15" xfId="292"/>
    <cellStyle name="20% - Accent5 2 16" xfId="293"/>
    <cellStyle name="20% - Accent5 2 17" xfId="294"/>
    <cellStyle name="20% - Accent5 2 18" xfId="295"/>
    <cellStyle name="20% - Accent5 2 19" xfId="296"/>
    <cellStyle name="20% - Accent5 2 2" xfId="297"/>
    <cellStyle name="20% - Accent5 2 20" xfId="298"/>
    <cellStyle name="20% - Accent5 2 21" xfId="299"/>
    <cellStyle name="20% - Accent5 2 22" xfId="300"/>
    <cellStyle name="20% - Accent5 2 23" xfId="301"/>
    <cellStyle name="20% - Accent5 2 24" xfId="302"/>
    <cellStyle name="20% - Accent5 2 25" xfId="303"/>
    <cellStyle name="20% - Accent5 2 26" xfId="304"/>
    <cellStyle name="20% - Accent5 2 27" xfId="305"/>
    <cellStyle name="20% - Accent5 2 3" xfId="306"/>
    <cellStyle name="20% - Accent5 2 4" xfId="307"/>
    <cellStyle name="20% - Accent5 2 5" xfId="308"/>
    <cellStyle name="20% - Accent5 2 6" xfId="309"/>
    <cellStyle name="20% - Accent5 2 7" xfId="310"/>
    <cellStyle name="20% - Accent5 2 8" xfId="311"/>
    <cellStyle name="20% - Accent5 2 9" xfId="312"/>
    <cellStyle name="20% - Accent5 20" xfId="313"/>
    <cellStyle name="20% - Accent5 21" xfId="314"/>
    <cellStyle name="20% - Accent5 22" xfId="315"/>
    <cellStyle name="20% - Accent5 23" xfId="316"/>
    <cellStyle name="20% - Accent5 24" xfId="317"/>
    <cellStyle name="20% - Accent5 25" xfId="318"/>
    <cellStyle name="20% - Accent5 26" xfId="319"/>
    <cellStyle name="20% - Accent5 27" xfId="320"/>
    <cellStyle name="20% - Accent5 28" xfId="321"/>
    <cellStyle name="20% - Accent5 3" xfId="322"/>
    <cellStyle name="20% - Accent5 4" xfId="323"/>
    <cellStyle name="20% - Accent5 5" xfId="324"/>
    <cellStyle name="20% - Accent5 6" xfId="325"/>
    <cellStyle name="20% - Accent5 7" xfId="326"/>
    <cellStyle name="20% - Accent5 8" xfId="327"/>
    <cellStyle name="20% - Accent5 9" xfId="328"/>
    <cellStyle name="20% - Accent6" xfId="55" builtinId="50" customBuiltin="1"/>
    <cellStyle name="20% - Accent6 10" xfId="329"/>
    <cellStyle name="20% - Accent6 11" xfId="330"/>
    <cellStyle name="20% - Accent6 12" xfId="331"/>
    <cellStyle name="20% - Accent6 13" xfId="332"/>
    <cellStyle name="20% - Accent6 14" xfId="333"/>
    <cellStyle name="20% - Accent6 15" xfId="334"/>
    <cellStyle name="20% - Accent6 16" xfId="335"/>
    <cellStyle name="20% - Accent6 17" xfId="336"/>
    <cellStyle name="20% - Accent6 18" xfId="337"/>
    <cellStyle name="20% - Accent6 19" xfId="338"/>
    <cellStyle name="20% - Accent6 2" xfId="339"/>
    <cellStyle name="20% - Accent6 2 10" xfId="340"/>
    <cellStyle name="20% - Accent6 2 11" xfId="341"/>
    <cellStyle name="20% - Accent6 2 12" xfId="342"/>
    <cellStyle name="20% - Accent6 2 13" xfId="343"/>
    <cellStyle name="20% - Accent6 2 14" xfId="344"/>
    <cellStyle name="20% - Accent6 2 15" xfId="345"/>
    <cellStyle name="20% - Accent6 2 16" xfId="346"/>
    <cellStyle name="20% - Accent6 2 17" xfId="347"/>
    <cellStyle name="20% - Accent6 2 18" xfId="348"/>
    <cellStyle name="20% - Accent6 2 19" xfId="349"/>
    <cellStyle name="20% - Accent6 2 2" xfId="350"/>
    <cellStyle name="20% - Accent6 2 20" xfId="351"/>
    <cellStyle name="20% - Accent6 2 21" xfId="352"/>
    <cellStyle name="20% - Accent6 2 22" xfId="353"/>
    <cellStyle name="20% - Accent6 2 23" xfId="354"/>
    <cellStyle name="20% - Accent6 2 24" xfId="355"/>
    <cellStyle name="20% - Accent6 2 25" xfId="356"/>
    <cellStyle name="20% - Accent6 2 26" xfId="357"/>
    <cellStyle name="20% - Accent6 2 27" xfId="358"/>
    <cellStyle name="20% - Accent6 2 3" xfId="359"/>
    <cellStyle name="20% - Accent6 2 4" xfId="360"/>
    <cellStyle name="20% - Accent6 2 5" xfId="361"/>
    <cellStyle name="20% - Accent6 2 6" xfId="362"/>
    <cellStyle name="20% - Accent6 2 7" xfId="363"/>
    <cellStyle name="20% - Accent6 2 8" xfId="364"/>
    <cellStyle name="20% - Accent6 2 9" xfId="365"/>
    <cellStyle name="20% - Accent6 20" xfId="366"/>
    <cellStyle name="20% - Accent6 21" xfId="367"/>
    <cellStyle name="20% - Accent6 22" xfId="368"/>
    <cellStyle name="20% - Accent6 23" xfId="369"/>
    <cellStyle name="20% - Accent6 24" xfId="370"/>
    <cellStyle name="20% - Accent6 25" xfId="371"/>
    <cellStyle name="20% - Accent6 26" xfId="372"/>
    <cellStyle name="20% - Accent6 27" xfId="373"/>
    <cellStyle name="20% - Accent6 28" xfId="374"/>
    <cellStyle name="20% - Accent6 3" xfId="375"/>
    <cellStyle name="20% - Accent6 4" xfId="376"/>
    <cellStyle name="20% - Accent6 5" xfId="377"/>
    <cellStyle name="20% - Accent6 6" xfId="378"/>
    <cellStyle name="20% - Accent6 7" xfId="379"/>
    <cellStyle name="20% - Accent6 8" xfId="380"/>
    <cellStyle name="20% - Accent6 9" xfId="381"/>
    <cellStyle name="40% - Accent1" xfId="36" builtinId="31" customBuiltin="1"/>
    <cellStyle name="40% - Accent1 10" xfId="382"/>
    <cellStyle name="40% - Accent1 11" xfId="383"/>
    <cellStyle name="40% - Accent1 12" xfId="384"/>
    <cellStyle name="40% - Accent1 13" xfId="385"/>
    <cellStyle name="40% - Accent1 14" xfId="386"/>
    <cellStyle name="40% - Accent1 15" xfId="387"/>
    <cellStyle name="40% - Accent1 16" xfId="388"/>
    <cellStyle name="40% - Accent1 17" xfId="389"/>
    <cellStyle name="40% - Accent1 18" xfId="390"/>
    <cellStyle name="40% - Accent1 19" xfId="391"/>
    <cellStyle name="40% - Accent1 2" xfId="392"/>
    <cellStyle name="40% - Accent1 2 10" xfId="393"/>
    <cellStyle name="40% - Accent1 2 11" xfId="394"/>
    <cellStyle name="40% - Accent1 2 12" xfId="395"/>
    <cellStyle name="40% - Accent1 2 13" xfId="396"/>
    <cellStyle name="40% - Accent1 2 14" xfId="397"/>
    <cellStyle name="40% - Accent1 2 15" xfId="398"/>
    <cellStyle name="40% - Accent1 2 16" xfId="399"/>
    <cellStyle name="40% - Accent1 2 17" xfId="400"/>
    <cellStyle name="40% - Accent1 2 18" xfId="401"/>
    <cellStyle name="40% - Accent1 2 19" xfId="402"/>
    <cellStyle name="40% - Accent1 2 2" xfId="403"/>
    <cellStyle name="40% - Accent1 2 20" xfId="404"/>
    <cellStyle name="40% - Accent1 2 21" xfId="405"/>
    <cellStyle name="40% - Accent1 2 22" xfId="406"/>
    <cellStyle name="40% - Accent1 2 23" xfId="407"/>
    <cellStyle name="40% - Accent1 2 24" xfId="408"/>
    <cellStyle name="40% - Accent1 2 25" xfId="409"/>
    <cellStyle name="40% - Accent1 2 26" xfId="410"/>
    <cellStyle name="40% - Accent1 2 27" xfId="411"/>
    <cellStyle name="40% - Accent1 2 3" xfId="412"/>
    <cellStyle name="40% - Accent1 2 4" xfId="413"/>
    <cellStyle name="40% - Accent1 2 5" xfId="414"/>
    <cellStyle name="40% - Accent1 2 6" xfId="415"/>
    <cellStyle name="40% - Accent1 2 7" xfId="416"/>
    <cellStyle name="40% - Accent1 2 8" xfId="417"/>
    <cellStyle name="40% - Accent1 2 9" xfId="418"/>
    <cellStyle name="40% - Accent1 20" xfId="419"/>
    <cellStyle name="40% - Accent1 21" xfId="420"/>
    <cellStyle name="40% - Accent1 22" xfId="421"/>
    <cellStyle name="40% - Accent1 23" xfId="422"/>
    <cellStyle name="40% - Accent1 24" xfId="423"/>
    <cellStyle name="40% - Accent1 25" xfId="424"/>
    <cellStyle name="40% - Accent1 26" xfId="425"/>
    <cellStyle name="40% - Accent1 27" xfId="426"/>
    <cellStyle name="40% - Accent1 28" xfId="427"/>
    <cellStyle name="40% - Accent1 3" xfId="428"/>
    <cellStyle name="40% - Accent1 4" xfId="429"/>
    <cellStyle name="40% - Accent1 5" xfId="430"/>
    <cellStyle name="40% - Accent1 6" xfId="431"/>
    <cellStyle name="40% - Accent1 7" xfId="432"/>
    <cellStyle name="40% - Accent1 8" xfId="433"/>
    <cellStyle name="40% - Accent1 9" xfId="434"/>
    <cellStyle name="40% - Accent2" xfId="40" builtinId="35" customBuiltin="1"/>
    <cellStyle name="40% - Accent2 10" xfId="435"/>
    <cellStyle name="40% - Accent2 11" xfId="436"/>
    <cellStyle name="40% - Accent2 12" xfId="437"/>
    <cellStyle name="40% - Accent2 13" xfId="438"/>
    <cellStyle name="40% - Accent2 14" xfId="439"/>
    <cellStyle name="40% - Accent2 15" xfId="440"/>
    <cellStyle name="40% - Accent2 16" xfId="441"/>
    <cellStyle name="40% - Accent2 17" xfId="442"/>
    <cellStyle name="40% - Accent2 18" xfId="443"/>
    <cellStyle name="40% - Accent2 19" xfId="444"/>
    <cellStyle name="40% - Accent2 2" xfId="445"/>
    <cellStyle name="40% - Accent2 2 10" xfId="446"/>
    <cellStyle name="40% - Accent2 2 11" xfId="447"/>
    <cellStyle name="40% - Accent2 2 12" xfId="448"/>
    <cellStyle name="40% - Accent2 2 13" xfId="449"/>
    <cellStyle name="40% - Accent2 2 14" xfId="450"/>
    <cellStyle name="40% - Accent2 2 15" xfId="451"/>
    <cellStyle name="40% - Accent2 2 16" xfId="452"/>
    <cellStyle name="40% - Accent2 2 17" xfId="453"/>
    <cellStyle name="40% - Accent2 2 18" xfId="454"/>
    <cellStyle name="40% - Accent2 2 19" xfId="455"/>
    <cellStyle name="40% - Accent2 2 2" xfId="456"/>
    <cellStyle name="40% - Accent2 2 20" xfId="457"/>
    <cellStyle name="40% - Accent2 2 21" xfId="458"/>
    <cellStyle name="40% - Accent2 2 22" xfId="459"/>
    <cellStyle name="40% - Accent2 2 23" xfId="460"/>
    <cellStyle name="40% - Accent2 2 24" xfId="461"/>
    <cellStyle name="40% - Accent2 2 25" xfId="462"/>
    <cellStyle name="40% - Accent2 2 26" xfId="463"/>
    <cellStyle name="40% - Accent2 2 27" xfId="464"/>
    <cellStyle name="40% - Accent2 2 3" xfId="465"/>
    <cellStyle name="40% - Accent2 2 4" xfId="466"/>
    <cellStyle name="40% - Accent2 2 5" xfId="467"/>
    <cellStyle name="40% - Accent2 2 6" xfId="468"/>
    <cellStyle name="40% - Accent2 2 7" xfId="469"/>
    <cellStyle name="40% - Accent2 2 8" xfId="470"/>
    <cellStyle name="40% - Accent2 2 9" xfId="471"/>
    <cellStyle name="40% - Accent2 20" xfId="472"/>
    <cellStyle name="40% - Accent2 21" xfId="473"/>
    <cellStyle name="40% - Accent2 22" xfId="474"/>
    <cellStyle name="40% - Accent2 23" xfId="475"/>
    <cellStyle name="40% - Accent2 24" xfId="476"/>
    <cellStyle name="40% - Accent2 25" xfId="477"/>
    <cellStyle name="40% - Accent2 26" xfId="478"/>
    <cellStyle name="40% - Accent2 27" xfId="479"/>
    <cellStyle name="40% - Accent2 28" xfId="480"/>
    <cellStyle name="40% - Accent2 3" xfId="481"/>
    <cellStyle name="40% - Accent2 4" xfId="482"/>
    <cellStyle name="40% - Accent2 5" xfId="483"/>
    <cellStyle name="40% - Accent2 6" xfId="484"/>
    <cellStyle name="40% - Accent2 7" xfId="485"/>
    <cellStyle name="40% - Accent2 8" xfId="486"/>
    <cellStyle name="40% - Accent2 9" xfId="487"/>
    <cellStyle name="40% - Accent3" xfId="44" builtinId="39" customBuiltin="1"/>
    <cellStyle name="40% - Accent3 10" xfId="488"/>
    <cellStyle name="40% - Accent3 11" xfId="489"/>
    <cellStyle name="40% - Accent3 12" xfId="490"/>
    <cellStyle name="40% - Accent3 13" xfId="491"/>
    <cellStyle name="40% - Accent3 14" xfId="492"/>
    <cellStyle name="40% - Accent3 15" xfId="493"/>
    <cellStyle name="40% - Accent3 16" xfId="494"/>
    <cellStyle name="40% - Accent3 17" xfId="495"/>
    <cellStyle name="40% - Accent3 18" xfId="496"/>
    <cellStyle name="40% - Accent3 19" xfId="497"/>
    <cellStyle name="40% - Accent3 2" xfId="498"/>
    <cellStyle name="40% - Accent3 2 10" xfId="499"/>
    <cellStyle name="40% - Accent3 2 11" xfId="500"/>
    <cellStyle name="40% - Accent3 2 12" xfId="501"/>
    <cellStyle name="40% - Accent3 2 13" xfId="502"/>
    <cellStyle name="40% - Accent3 2 14" xfId="503"/>
    <cellStyle name="40% - Accent3 2 15" xfId="504"/>
    <cellStyle name="40% - Accent3 2 16" xfId="505"/>
    <cellStyle name="40% - Accent3 2 17" xfId="506"/>
    <cellStyle name="40% - Accent3 2 18" xfId="507"/>
    <cellStyle name="40% - Accent3 2 19" xfId="508"/>
    <cellStyle name="40% - Accent3 2 2" xfId="509"/>
    <cellStyle name="40% - Accent3 2 20" xfId="510"/>
    <cellStyle name="40% - Accent3 2 21" xfId="511"/>
    <cellStyle name="40% - Accent3 2 22" xfId="512"/>
    <cellStyle name="40% - Accent3 2 23" xfId="513"/>
    <cellStyle name="40% - Accent3 2 24" xfId="514"/>
    <cellStyle name="40% - Accent3 2 25" xfId="515"/>
    <cellStyle name="40% - Accent3 2 26" xfId="516"/>
    <cellStyle name="40% - Accent3 2 27" xfId="517"/>
    <cellStyle name="40% - Accent3 2 3" xfId="518"/>
    <cellStyle name="40% - Accent3 2 4" xfId="519"/>
    <cellStyle name="40% - Accent3 2 5" xfId="520"/>
    <cellStyle name="40% - Accent3 2 6" xfId="521"/>
    <cellStyle name="40% - Accent3 2 7" xfId="522"/>
    <cellStyle name="40% - Accent3 2 8" xfId="523"/>
    <cellStyle name="40% - Accent3 2 9" xfId="524"/>
    <cellStyle name="40% - Accent3 20" xfId="525"/>
    <cellStyle name="40% - Accent3 21" xfId="526"/>
    <cellStyle name="40% - Accent3 22" xfId="527"/>
    <cellStyle name="40% - Accent3 23" xfId="528"/>
    <cellStyle name="40% - Accent3 24" xfId="529"/>
    <cellStyle name="40% - Accent3 25" xfId="530"/>
    <cellStyle name="40% - Accent3 26" xfId="531"/>
    <cellStyle name="40% - Accent3 27" xfId="532"/>
    <cellStyle name="40% - Accent3 28" xfId="533"/>
    <cellStyle name="40% - Accent3 3" xfId="534"/>
    <cellStyle name="40% - Accent3 4" xfId="535"/>
    <cellStyle name="40% - Accent3 5" xfId="536"/>
    <cellStyle name="40% - Accent3 6" xfId="537"/>
    <cellStyle name="40% - Accent3 7" xfId="538"/>
    <cellStyle name="40% - Accent3 8" xfId="539"/>
    <cellStyle name="40% - Accent3 9" xfId="540"/>
    <cellStyle name="40% - Accent4" xfId="48" builtinId="43" customBuiltin="1"/>
    <cellStyle name="40% - Accent4 10" xfId="541"/>
    <cellStyle name="40% - Accent4 11" xfId="542"/>
    <cellStyle name="40% - Accent4 12" xfId="543"/>
    <cellStyle name="40% - Accent4 13" xfId="544"/>
    <cellStyle name="40% - Accent4 14" xfId="545"/>
    <cellStyle name="40% - Accent4 15" xfId="546"/>
    <cellStyle name="40% - Accent4 16" xfId="547"/>
    <cellStyle name="40% - Accent4 17" xfId="548"/>
    <cellStyle name="40% - Accent4 18" xfId="549"/>
    <cellStyle name="40% - Accent4 19" xfId="550"/>
    <cellStyle name="40% - Accent4 2" xfId="551"/>
    <cellStyle name="40% - Accent4 2 10" xfId="552"/>
    <cellStyle name="40% - Accent4 2 11" xfId="553"/>
    <cellStyle name="40% - Accent4 2 12" xfId="554"/>
    <cellStyle name="40% - Accent4 2 13" xfId="555"/>
    <cellStyle name="40% - Accent4 2 14" xfId="556"/>
    <cellStyle name="40% - Accent4 2 15" xfId="557"/>
    <cellStyle name="40% - Accent4 2 16" xfId="558"/>
    <cellStyle name="40% - Accent4 2 17" xfId="559"/>
    <cellStyle name="40% - Accent4 2 18" xfId="560"/>
    <cellStyle name="40% - Accent4 2 19" xfId="561"/>
    <cellStyle name="40% - Accent4 2 2" xfId="562"/>
    <cellStyle name="40% - Accent4 2 20" xfId="563"/>
    <cellStyle name="40% - Accent4 2 21" xfId="564"/>
    <cellStyle name="40% - Accent4 2 22" xfId="565"/>
    <cellStyle name="40% - Accent4 2 23" xfId="566"/>
    <cellStyle name="40% - Accent4 2 24" xfId="567"/>
    <cellStyle name="40% - Accent4 2 25" xfId="568"/>
    <cellStyle name="40% - Accent4 2 26" xfId="569"/>
    <cellStyle name="40% - Accent4 2 27" xfId="570"/>
    <cellStyle name="40% - Accent4 2 3" xfId="571"/>
    <cellStyle name="40% - Accent4 2 4" xfId="572"/>
    <cellStyle name="40% - Accent4 2 5" xfId="573"/>
    <cellStyle name="40% - Accent4 2 6" xfId="574"/>
    <cellStyle name="40% - Accent4 2 7" xfId="575"/>
    <cellStyle name="40% - Accent4 2 8" xfId="576"/>
    <cellStyle name="40% - Accent4 2 9" xfId="577"/>
    <cellStyle name="40% - Accent4 20" xfId="578"/>
    <cellStyle name="40% - Accent4 21" xfId="579"/>
    <cellStyle name="40% - Accent4 22" xfId="580"/>
    <cellStyle name="40% - Accent4 23" xfId="581"/>
    <cellStyle name="40% - Accent4 24" xfId="582"/>
    <cellStyle name="40% - Accent4 25" xfId="583"/>
    <cellStyle name="40% - Accent4 26" xfId="584"/>
    <cellStyle name="40% - Accent4 27" xfId="585"/>
    <cellStyle name="40% - Accent4 28" xfId="586"/>
    <cellStyle name="40% - Accent4 3" xfId="587"/>
    <cellStyle name="40% - Accent4 4" xfId="588"/>
    <cellStyle name="40% - Accent4 5" xfId="589"/>
    <cellStyle name="40% - Accent4 6" xfId="590"/>
    <cellStyle name="40% - Accent4 7" xfId="591"/>
    <cellStyle name="40% - Accent4 8" xfId="592"/>
    <cellStyle name="40% - Accent4 9" xfId="593"/>
    <cellStyle name="40% - Accent5" xfId="52" builtinId="47" customBuiltin="1"/>
    <cellStyle name="40% - Accent5 10" xfId="594"/>
    <cellStyle name="40% - Accent5 11" xfId="595"/>
    <cellStyle name="40% - Accent5 12" xfId="596"/>
    <cellStyle name="40% - Accent5 13" xfId="597"/>
    <cellStyle name="40% - Accent5 14" xfId="598"/>
    <cellStyle name="40% - Accent5 15" xfId="599"/>
    <cellStyle name="40% - Accent5 16" xfId="600"/>
    <cellStyle name="40% - Accent5 17" xfId="601"/>
    <cellStyle name="40% - Accent5 18" xfId="602"/>
    <cellStyle name="40% - Accent5 19" xfId="603"/>
    <cellStyle name="40% - Accent5 2" xfId="604"/>
    <cellStyle name="40% - Accent5 2 10" xfId="605"/>
    <cellStyle name="40% - Accent5 2 11" xfId="606"/>
    <cellStyle name="40% - Accent5 2 12" xfId="607"/>
    <cellStyle name="40% - Accent5 2 13" xfId="608"/>
    <cellStyle name="40% - Accent5 2 14" xfId="609"/>
    <cellStyle name="40% - Accent5 2 15" xfId="610"/>
    <cellStyle name="40% - Accent5 2 16" xfId="611"/>
    <cellStyle name="40% - Accent5 2 17" xfId="612"/>
    <cellStyle name="40% - Accent5 2 18" xfId="613"/>
    <cellStyle name="40% - Accent5 2 19" xfId="614"/>
    <cellStyle name="40% - Accent5 2 2" xfId="615"/>
    <cellStyle name="40% - Accent5 2 20" xfId="616"/>
    <cellStyle name="40% - Accent5 2 21" xfId="617"/>
    <cellStyle name="40% - Accent5 2 22" xfId="618"/>
    <cellStyle name="40% - Accent5 2 23" xfId="619"/>
    <cellStyle name="40% - Accent5 2 24" xfId="620"/>
    <cellStyle name="40% - Accent5 2 25" xfId="621"/>
    <cellStyle name="40% - Accent5 2 26" xfId="622"/>
    <cellStyle name="40% - Accent5 2 27" xfId="623"/>
    <cellStyle name="40% - Accent5 2 3" xfId="624"/>
    <cellStyle name="40% - Accent5 2 4" xfId="625"/>
    <cellStyle name="40% - Accent5 2 5" xfId="626"/>
    <cellStyle name="40% - Accent5 2 6" xfId="627"/>
    <cellStyle name="40% - Accent5 2 7" xfId="628"/>
    <cellStyle name="40% - Accent5 2 8" xfId="629"/>
    <cellStyle name="40% - Accent5 2 9" xfId="630"/>
    <cellStyle name="40% - Accent5 20" xfId="631"/>
    <cellStyle name="40% - Accent5 21" xfId="632"/>
    <cellStyle name="40% - Accent5 22" xfId="633"/>
    <cellStyle name="40% - Accent5 23" xfId="634"/>
    <cellStyle name="40% - Accent5 24" xfId="635"/>
    <cellStyle name="40% - Accent5 25" xfId="636"/>
    <cellStyle name="40% - Accent5 26" xfId="637"/>
    <cellStyle name="40% - Accent5 27" xfId="638"/>
    <cellStyle name="40% - Accent5 28" xfId="639"/>
    <cellStyle name="40% - Accent5 3" xfId="640"/>
    <cellStyle name="40% - Accent5 4" xfId="641"/>
    <cellStyle name="40% - Accent5 5" xfId="642"/>
    <cellStyle name="40% - Accent5 6" xfId="643"/>
    <cellStyle name="40% - Accent5 7" xfId="644"/>
    <cellStyle name="40% - Accent5 8" xfId="645"/>
    <cellStyle name="40% - Accent5 9" xfId="646"/>
    <cellStyle name="40% - Accent6" xfId="56" builtinId="51" customBuiltin="1"/>
    <cellStyle name="40% - Accent6 10" xfId="647"/>
    <cellStyle name="40% - Accent6 11" xfId="648"/>
    <cellStyle name="40% - Accent6 12" xfId="649"/>
    <cellStyle name="40% - Accent6 13" xfId="650"/>
    <cellStyle name="40% - Accent6 14" xfId="651"/>
    <cellStyle name="40% - Accent6 15" xfId="652"/>
    <cellStyle name="40% - Accent6 16" xfId="653"/>
    <cellStyle name="40% - Accent6 17" xfId="654"/>
    <cellStyle name="40% - Accent6 18" xfId="655"/>
    <cellStyle name="40% - Accent6 19" xfId="656"/>
    <cellStyle name="40% - Accent6 2" xfId="657"/>
    <cellStyle name="40% - Accent6 2 10" xfId="658"/>
    <cellStyle name="40% - Accent6 2 11" xfId="659"/>
    <cellStyle name="40% - Accent6 2 12" xfId="660"/>
    <cellStyle name="40% - Accent6 2 13" xfId="661"/>
    <cellStyle name="40% - Accent6 2 14" xfId="662"/>
    <cellStyle name="40% - Accent6 2 15" xfId="663"/>
    <cellStyle name="40% - Accent6 2 16" xfId="664"/>
    <cellStyle name="40% - Accent6 2 17" xfId="665"/>
    <cellStyle name="40% - Accent6 2 18" xfId="666"/>
    <cellStyle name="40% - Accent6 2 19" xfId="667"/>
    <cellStyle name="40% - Accent6 2 2" xfId="668"/>
    <cellStyle name="40% - Accent6 2 20" xfId="669"/>
    <cellStyle name="40% - Accent6 2 21" xfId="670"/>
    <cellStyle name="40% - Accent6 2 22" xfId="671"/>
    <cellStyle name="40% - Accent6 2 23" xfId="672"/>
    <cellStyle name="40% - Accent6 2 24" xfId="673"/>
    <cellStyle name="40% - Accent6 2 25" xfId="674"/>
    <cellStyle name="40% - Accent6 2 26" xfId="675"/>
    <cellStyle name="40% - Accent6 2 27" xfId="676"/>
    <cellStyle name="40% - Accent6 2 3" xfId="677"/>
    <cellStyle name="40% - Accent6 2 4" xfId="678"/>
    <cellStyle name="40% - Accent6 2 5" xfId="679"/>
    <cellStyle name="40% - Accent6 2 6" xfId="680"/>
    <cellStyle name="40% - Accent6 2 7" xfId="681"/>
    <cellStyle name="40% - Accent6 2 8" xfId="682"/>
    <cellStyle name="40% - Accent6 2 9" xfId="683"/>
    <cellStyle name="40% - Accent6 20" xfId="684"/>
    <cellStyle name="40% - Accent6 21" xfId="685"/>
    <cellStyle name="40% - Accent6 22" xfId="686"/>
    <cellStyle name="40% - Accent6 23" xfId="687"/>
    <cellStyle name="40% - Accent6 24" xfId="688"/>
    <cellStyle name="40% - Accent6 25" xfId="689"/>
    <cellStyle name="40% - Accent6 26" xfId="690"/>
    <cellStyle name="40% - Accent6 27" xfId="691"/>
    <cellStyle name="40% - Accent6 28" xfId="692"/>
    <cellStyle name="40% - Accent6 3" xfId="693"/>
    <cellStyle name="40% - Accent6 4" xfId="694"/>
    <cellStyle name="40% - Accent6 5" xfId="695"/>
    <cellStyle name="40% - Accent6 6" xfId="696"/>
    <cellStyle name="40% - Accent6 7" xfId="697"/>
    <cellStyle name="40% - Accent6 8" xfId="698"/>
    <cellStyle name="40% - Accent6 9" xfId="699"/>
    <cellStyle name="60% - Accent1" xfId="37" builtinId="32" customBuiltin="1"/>
    <cellStyle name="60% - Accent2" xfId="41" builtinId="36" customBuiltin="1"/>
    <cellStyle name="60% - Accent3" xfId="45" builtinId="40" customBuiltin="1"/>
    <cellStyle name="60% - Accent4" xfId="49" builtinId="44" customBuiltin="1"/>
    <cellStyle name="60% - Accent5" xfId="53" builtinId="48" customBuiltin="1"/>
    <cellStyle name="60% - Accent6" xfId="57" builtinId="52" customBuiltin="1"/>
    <cellStyle name="Accent1" xfId="34" builtinId="29" customBuiltin="1"/>
    <cellStyle name="Accent2" xfId="38" builtinId="33" customBuiltin="1"/>
    <cellStyle name="Accent3" xfId="42" builtinId="37" customBuiltin="1"/>
    <cellStyle name="Accent4" xfId="46" builtinId="41" customBuiltin="1"/>
    <cellStyle name="Accent5" xfId="50" builtinId="45" customBuiltin="1"/>
    <cellStyle name="Accent6" xfId="54" builtinId="49" customBuiltin="1"/>
    <cellStyle name="Bad" xfId="24" builtinId="27" customBuiltin="1"/>
    <cellStyle name="Calculation" xfId="28" builtinId="22" customBuiltin="1"/>
    <cellStyle name="Check Cell" xfId="30" builtinId="23" customBuiltin="1"/>
    <cellStyle name="Comma" xfId="1" builtinId="3"/>
    <cellStyle name="Comma 2" xfId="61"/>
    <cellStyle name="Currency" xfId="2" builtinId="4"/>
    <cellStyle name="Currency 2" xfId="60"/>
    <cellStyle name="Explanatory Text" xfId="32" builtinId="53" customBuilti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Good" xfId="23" builtinId="26" customBuiltin="1"/>
    <cellStyle name="Heading 1" xfId="19" builtinId="16" customBuiltin="1"/>
    <cellStyle name="Heading 2" xfId="20" builtinId="17" customBuiltin="1"/>
    <cellStyle name="Heading 3" xfId="21" builtinId="18" customBuiltin="1"/>
    <cellStyle name="Heading 4" xfId="22" builtinId="19" customBuilti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Input" xfId="26" builtinId="20" customBuiltin="1"/>
    <cellStyle name="Linked Cell" xfId="29" builtinId="24" customBuiltin="1"/>
    <cellStyle name="Neutral" xfId="25" builtinId="28" customBuiltin="1"/>
    <cellStyle name="Normal" xfId="0" builtinId="0"/>
    <cellStyle name="Normal 10" xfId="62"/>
    <cellStyle name="Normal 2" xfId="700"/>
    <cellStyle name="Normal 2 10" xfId="701"/>
    <cellStyle name="Normal 2 11" xfId="702"/>
    <cellStyle name="Normal 2 12" xfId="703"/>
    <cellStyle name="Normal 2 13" xfId="704"/>
    <cellStyle name="Normal 2 14" xfId="705"/>
    <cellStyle name="Normal 2 15" xfId="706"/>
    <cellStyle name="Normal 2 16" xfId="707"/>
    <cellStyle name="Normal 2 17" xfId="708"/>
    <cellStyle name="Normal 2 18" xfId="709"/>
    <cellStyle name="Normal 2 19" xfId="710"/>
    <cellStyle name="Normal 2 2" xfId="711"/>
    <cellStyle name="Normal 2 2 10" xfId="712"/>
    <cellStyle name="Normal 2 2 11" xfId="713"/>
    <cellStyle name="Normal 2 2 12" xfId="714"/>
    <cellStyle name="Normal 2 2 13" xfId="715"/>
    <cellStyle name="Normal 2 2 14" xfId="716"/>
    <cellStyle name="Normal 2 2 15" xfId="717"/>
    <cellStyle name="Normal 2 2 16" xfId="718"/>
    <cellStyle name="Normal 2 2 17" xfId="719"/>
    <cellStyle name="Normal 2 2 18" xfId="720"/>
    <cellStyle name="Normal 2 2 19" xfId="721"/>
    <cellStyle name="Normal 2 2 2" xfId="722"/>
    <cellStyle name="Normal 2 2 20" xfId="723"/>
    <cellStyle name="Normal 2 2 21" xfId="724"/>
    <cellStyle name="Normal 2 2 22" xfId="725"/>
    <cellStyle name="Normal 2 2 23" xfId="726"/>
    <cellStyle name="Normal 2 2 24" xfId="727"/>
    <cellStyle name="Normal 2 2 25" xfId="728"/>
    <cellStyle name="Normal 2 2 26" xfId="729"/>
    <cellStyle name="Normal 2 2 27" xfId="730"/>
    <cellStyle name="Normal 2 2 3" xfId="731"/>
    <cellStyle name="Normal 2 2 4" xfId="732"/>
    <cellStyle name="Normal 2 2 5" xfId="733"/>
    <cellStyle name="Normal 2 2 6" xfId="734"/>
    <cellStyle name="Normal 2 2 7" xfId="735"/>
    <cellStyle name="Normal 2 2 8" xfId="736"/>
    <cellStyle name="Normal 2 2 9" xfId="737"/>
    <cellStyle name="Normal 2 20" xfId="738"/>
    <cellStyle name="Normal 2 21" xfId="739"/>
    <cellStyle name="Normal 2 22" xfId="740"/>
    <cellStyle name="Normal 2 23" xfId="741"/>
    <cellStyle name="Normal 2 24" xfId="742"/>
    <cellStyle name="Normal 2 25" xfId="743"/>
    <cellStyle name="Normal 2 26" xfId="744"/>
    <cellStyle name="Normal 2 27" xfId="745"/>
    <cellStyle name="Normal 2 28" xfId="746"/>
    <cellStyle name="Normal 2 29" xfId="747"/>
    <cellStyle name="Normal 2 3" xfId="748"/>
    <cellStyle name="Normal 2 4" xfId="749"/>
    <cellStyle name="Normal 2 5" xfId="750"/>
    <cellStyle name="Normal 2 6" xfId="751"/>
    <cellStyle name="Normal 2 7" xfId="752"/>
    <cellStyle name="Normal 2 8" xfId="753"/>
    <cellStyle name="Normal 2 9" xfId="754"/>
    <cellStyle name="Normal 3" xfId="755"/>
    <cellStyle name="Normal 3 10" xfId="756"/>
    <cellStyle name="Normal 3 11" xfId="757"/>
    <cellStyle name="Normal 3 12" xfId="758"/>
    <cellStyle name="Normal 3 13" xfId="759"/>
    <cellStyle name="Normal 3 14" xfId="760"/>
    <cellStyle name="Normal 3 15" xfId="761"/>
    <cellStyle name="Normal 3 16" xfId="762"/>
    <cellStyle name="Normal 3 17" xfId="763"/>
    <cellStyle name="Normal 3 18" xfId="764"/>
    <cellStyle name="Normal 3 19" xfId="765"/>
    <cellStyle name="Normal 3 2" xfId="766"/>
    <cellStyle name="Normal 3 20" xfId="767"/>
    <cellStyle name="Normal 3 21" xfId="768"/>
    <cellStyle name="Normal 3 22" xfId="769"/>
    <cellStyle name="Normal 3 23" xfId="770"/>
    <cellStyle name="Normal 3 24" xfId="771"/>
    <cellStyle name="Normal 3 25" xfId="772"/>
    <cellStyle name="Normal 3 26" xfId="773"/>
    <cellStyle name="Normal 3 27" xfId="774"/>
    <cellStyle name="Normal 3 28" xfId="775"/>
    <cellStyle name="Normal 3 3" xfId="776"/>
    <cellStyle name="Normal 3 4" xfId="777"/>
    <cellStyle name="Normal 3 5" xfId="778"/>
    <cellStyle name="Normal 3 6" xfId="779"/>
    <cellStyle name="Normal 3 7" xfId="780"/>
    <cellStyle name="Normal 3 8" xfId="781"/>
    <cellStyle name="Normal 3 9" xfId="782"/>
    <cellStyle name="Normal 4" xfId="783"/>
    <cellStyle name="Normal 4 10" xfId="784"/>
    <cellStyle name="Normal 4 11" xfId="785"/>
    <cellStyle name="Normal 4 12" xfId="786"/>
    <cellStyle name="Normal 4 13" xfId="787"/>
    <cellStyle name="Normal 4 14" xfId="788"/>
    <cellStyle name="Normal 4 15" xfId="789"/>
    <cellStyle name="Normal 4 16" xfId="790"/>
    <cellStyle name="Normal 4 17" xfId="791"/>
    <cellStyle name="Normal 4 18" xfId="792"/>
    <cellStyle name="Normal 4 19" xfId="793"/>
    <cellStyle name="Normal 4 2" xfId="794"/>
    <cellStyle name="Normal 4 20" xfId="795"/>
    <cellStyle name="Normal 4 21" xfId="796"/>
    <cellStyle name="Normal 4 22" xfId="797"/>
    <cellStyle name="Normal 4 23" xfId="798"/>
    <cellStyle name="Normal 4 24" xfId="799"/>
    <cellStyle name="Normal 4 25" xfId="800"/>
    <cellStyle name="Normal 4 26" xfId="801"/>
    <cellStyle name="Normal 4 27" xfId="802"/>
    <cellStyle name="Normal 4 28" xfId="803"/>
    <cellStyle name="Normal 4 3" xfId="804"/>
    <cellStyle name="Normal 4 4" xfId="805"/>
    <cellStyle name="Normal 4 5" xfId="806"/>
    <cellStyle name="Normal 4 6" xfId="807"/>
    <cellStyle name="Normal 4 7" xfId="808"/>
    <cellStyle name="Normal 4 8" xfId="809"/>
    <cellStyle name="Normal 4 9" xfId="810"/>
    <cellStyle name="Normal 5" xfId="811"/>
    <cellStyle name="Normal 5 10" xfId="812"/>
    <cellStyle name="Normal 5 11" xfId="813"/>
    <cellStyle name="Normal 5 12" xfId="814"/>
    <cellStyle name="Normal 5 13" xfId="815"/>
    <cellStyle name="Normal 5 14" xfId="816"/>
    <cellStyle name="Normal 5 15" xfId="817"/>
    <cellStyle name="Normal 5 16" xfId="818"/>
    <cellStyle name="Normal 5 17" xfId="819"/>
    <cellStyle name="Normal 5 18" xfId="820"/>
    <cellStyle name="Normal 5 19" xfId="821"/>
    <cellStyle name="Normal 5 2" xfId="822"/>
    <cellStyle name="Normal 5 20" xfId="823"/>
    <cellStyle name="Normal 5 21" xfId="824"/>
    <cellStyle name="Normal 5 22" xfId="825"/>
    <cellStyle name="Normal 5 23" xfId="826"/>
    <cellStyle name="Normal 5 24" xfId="827"/>
    <cellStyle name="Normal 5 25" xfId="828"/>
    <cellStyle name="Normal 5 26" xfId="829"/>
    <cellStyle name="Normal 5 27" xfId="830"/>
    <cellStyle name="Normal 5 3" xfId="831"/>
    <cellStyle name="Normal 5 4" xfId="832"/>
    <cellStyle name="Normal 5 5" xfId="833"/>
    <cellStyle name="Normal 5 6" xfId="834"/>
    <cellStyle name="Normal 5 7" xfId="835"/>
    <cellStyle name="Normal 5 8" xfId="836"/>
    <cellStyle name="Normal 5 9" xfId="837"/>
    <cellStyle name="Normal 6" xfId="838"/>
    <cellStyle name="Normal 6 10" xfId="839"/>
    <cellStyle name="Normal 6 11" xfId="840"/>
    <cellStyle name="Normal 6 12" xfId="841"/>
    <cellStyle name="Normal 6 13" xfId="842"/>
    <cellStyle name="Normal 6 14" xfId="843"/>
    <cellStyle name="Normal 6 15" xfId="844"/>
    <cellStyle name="Normal 6 16" xfId="845"/>
    <cellStyle name="Normal 6 17" xfId="846"/>
    <cellStyle name="Normal 6 18" xfId="847"/>
    <cellStyle name="Normal 6 19" xfId="848"/>
    <cellStyle name="Normal 6 2" xfId="849"/>
    <cellStyle name="Normal 6 20" xfId="850"/>
    <cellStyle name="Normal 6 21" xfId="851"/>
    <cellStyle name="Normal 6 22" xfId="852"/>
    <cellStyle name="Normal 6 23" xfId="853"/>
    <cellStyle name="Normal 6 24" xfId="854"/>
    <cellStyle name="Normal 6 25" xfId="855"/>
    <cellStyle name="Normal 6 26" xfId="856"/>
    <cellStyle name="Normal 6 27" xfId="857"/>
    <cellStyle name="Normal 6 28" xfId="858"/>
    <cellStyle name="Normal 6 3" xfId="859"/>
    <cellStyle name="Normal 6 4" xfId="860"/>
    <cellStyle name="Normal 6 5" xfId="861"/>
    <cellStyle name="Normal 6 6" xfId="862"/>
    <cellStyle name="Normal 6 7" xfId="863"/>
    <cellStyle name="Normal 6 8" xfId="864"/>
    <cellStyle name="Normal 6 9" xfId="865"/>
    <cellStyle name="Normal 7" xfId="866"/>
    <cellStyle name="Normal 7 10" xfId="867"/>
    <cellStyle name="Normal 7 11" xfId="868"/>
    <cellStyle name="Normal 7 12" xfId="869"/>
    <cellStyle name="Normal 7 13" xfId="870"/>
    <cellStyle name="Normal 7 14" xfId="871"/>
    <cellStyle name="Normal 7 15" xfId="872"/>
    <cellStyle name="Normal 7 16" xfId="873"/>
    <cellStyle name="Normal 7 17" xfId="874"/>
    <cellStyle name="Normal 7 18" xfId="875"/>
    <cellStyle name="Normal 7 19" xfId="876"/>
    <cellStyle name="Normal 7 2" xfId="877"/>
    <cellStyle name="Normal 7 20" xfId="878"/>
    <cellStyle name="Normal 7 21" xfId="879"/>
    <cellStyle name="Normal 7 22" xfId="880"/>
    <cellStyle name="Normal 7 23" xfId="881"/>
    <cellStyle name="Normal 7 24" xfId="882"/>
    <cellStyle name="Normal 7 25" xfId="883"/>
    <cellStyle name="Normal 7 26" xfId="884"/>
    <cellStyle name="Normal 7 27" xfId="885"/>
    <cellStyle name="Normal 7 28" xfId="886"/>
    <cellStyle name="Normal 7 3" xfId="887"/>
    <cellStyle name="Normal 7 4" xfId="888"/>
    <cellStyle name="Normal 7 5" xfId="889"/>
    <cellStyle name="Normal 7 6" xfId="890"/>
    <cellStyle name="Normal 7 7" xfId="891"/>
    <cellStyle name="Normal 7 8" xfId="892"/>
    <cellStyle name="Normal 7 9" xfId="893"/>
    <cellStyle name="Normal 8" xfId="894"/>
    <cellStyle name="Normal 8 10" xfId="895"/>
    <cellStyle name="Normal 8 11" xfId="896"/>
    <cellStyle name="Normal 8 12" xfId="897"/>
    <cellStyle name="Normal 8 13" xfId="898"/>
    <cellStyle name="Normal 8 14" xfId="899"/>
    <cellStyle name="Normal 8 15" xfId="900"/>
    <cellStyle name="Normal 8 16" xfId="901"/>
    <cellStyle name="Normal 8 17" xfId="902"/>
    <cellStyle name="Normal 8 18" xfId="903"/>
    <cellStyle name="Normal 8 19" xfId="904"/>
    <cellStyle name="Normal 8 2" xfId="905"/>
    <cellStyle name="Normal 8 20" xfId="906"/>
    <cellStyle name="Normal 8 21" xfId="907"/>
    <cellStyle name="Normal 8 22" xfId="908"/>
    <cellStyle name="Normal 8 23" xfId="909"/>
    <cellStyle name="Normal 8 24" xfId="910"/>
    <cellStyle name="Normal 8 25" xfId="911"/>
    <cellStyle name="Normal 8 26" xfId="912"/>
    <cellStyle name="Normal 8 27" xfId="913"/>
    <cellStyle name="Normal 8 3" xfId="914"/>
    <cellStyle name="Normal 8 4" xfId="915"/>
    <cellStyle name="Normal 8 5" xfId="916"/>
    <cellStyle name="Normal 8 6" xfId="917"/>
    <cellStyle name="Normal 8 7" xfId="918"/>
    <cellStyle name="Normal 8 8" xfId="919"/>
    <cellStyle name="Normal 8 9" xfId="920"/>
    <cellStyle name="Normal 9" xfId="921"/>
    <cellStyle name="Normal_4 12 02 Mtg 2002 Revised 2003 Prelim Budget" xfId="3"/>
    <cellStyle name="Normal_MORE 2007 Cost Allocations based on 7 7 06 Prelim Budget" xfId="4"/>
    <cellStyle name="Normal_MORE 2007 Cost Allocations based on 7 7 06 Prelim Budget 2" xfId="58"/>
    <cellStyle name="Note 2" xfId="922"/>
    <cellStyle name="Note 2 10" xfId="923"/>
    <cellStyle name="Note 2 11" xfId="924"/>
    <cellStyle name="Note 2 12" xfId="925"/>
    <cellStyle name="Note 2 13" xfId="926"/>
    <cellStyle name="Note 2 14" xfId="927"/>
    <cellStyle name="Note 2 15" xfId="928"/>
    <cellStyle name="Note 2 16" xfId="929"/>
    <cellStyle name="Note 2 17" xfId="930"/>
    <cellStyle name="Note 2 18" xfId="931"/>
    <cellStyle name="Note 2 19" xfId="932"/>
    <cellStyle name="Note 2 2" xfId="933"/>
    <cellStyle name="Note 2 20" xfId="934"/>
    <cellStyle name="Note 2 21" xfId="935"/>
    <cellStyle name="Note 2 22" xfId="936"/>
    <cellStyle name="Note 2 23" xfId="937"/>
    <cellStyle name="Note 2 24" xfId="938"/>
    <cellStyle name="Note 2 25" xfId="939"/>
    <cellStyle name="Note 2 26" xfId="940"/>
    <cellStyle name="Note 2 27" xfId="941"/>
    <cellStyle name="Note 2 3" xfId="942"/>
    <cellStyle name="Note 2 4" xfId="943"/>
    <cellStyle name="Note 2 5" xfId="944"/>
    <cellStyle name="Note 2 6" xfId="945"/>
    <cellStyle name="Note 2 7" xfId="946"/>
    <cellStyle name="Note 2 8" xfId="947"/>
    <cellStyle name="Note 2 9" xfId="948"/>
    <cellStyle name="Note 3" xfId="949"/>
    <cellStyle name="Note 3 10" xfId="950"/>
    <cellStyle name="Note 3 11" xfId="951"/>
    <cellStyle name="Note 3 12" xfId="952"/>
    <cellStyle name="Note 3 13" xfId="953"/>
    <cellStyle name="Note 3 14" xfId="954"/>
    <cellStyle name="Note 3 15" xfId="955"/>
    <cellStyle name="Note 3 16" xfId="956"/>
    <cellStyle name="Note 3 17" xfId="957"/>
    <cellStyle name="Note 3 18" xfId="958"/>
    <cellStyle name="Note 3 19" xfId="959"/>
    <cellStyle name="Note 3 2" xfId="960"/>
    <cellStyle name="Note 3 20" xfId="961"/>
    <cellStyle name="Note 3 21" xfId="962"/>
    <cellStyle name="Note 3 22" xfId="963"/>
    <cellStyle name="Note 3 23" xfId="964"/>
    <cellStyle name="Note 3 24" xfId="965"/>
    <cellStyle name="Note 3 25" xfId="966"/>
    <cellStyle name="Note 3 26" xfId="967"/>
    <cellStyle name="Note 3 27" xfId="968"/>
    <cellStyle name="Note 3 3" xfId="969"/>
    <cellStyle name="Note 3 4" xfId="970"/>
    <cellStyle name="Note 3 5" xfId="971"/>
    <cellStyle name="Note 3 6" xfId="972"/>
    <cellStyle name="Note 3 7" xfId="973"/>
    <cellStyle name="Note 3 8" xfId="974"/>
    <cellStyle name="Note 3 9" xfId="975"/>
    <cellStyle name="Note 4" xfId="976"/>
    <cellStyle name="Note 4 10" xfId="977"/>
    <cellStyle name="Note 4 11" xfId="978"/>
    <cellStyle name="Note 4 12" xfId="979"/>
    <cellStyle name="Note 4 13" xfId="980"/>
    <cellStyle name="Note 4 14" xfId="981"/>
    <cellStyle name="Note 4 15" xfId="982"/>
    <cellStyle name="Note 4 16" xfId="983"/>
    <cellStyle name="Note 4 17" xfId="984"/>
    <cellStyle name="Note 4 18" xfId="985"/>
    <cellStyle name="Note 4 19" xfId="986"/>
    <cellStyle name="Note 4 2" xfId="987"/>
    <cellStyle name="Note 4 20" xfId="988"/>
    <cellStyle name="Note 4 21" xfId="989"/>
    <cellStyle name="Note 4 22" xfId="990"/>
    <cellStyle name="Note 4 23" xfId="991"/>
    <cellStyle name="Note 4 24" xfId="992"/>
    <cellStyle name="Note 4 25" xfId="993"/>
    <cellStyle name="Note 4 26" xfId="994"/>
    <cellStyle name="Note 4 27" xfId="995"/>
    <cellStyle name="Note 4 3" xfId="996"/>
    <cellStyle name="Note 4 4" xfId="997"/>
    <cellStyle name="Note 4 5" xfId="998"/>
    <cellStyle name="Note 4 6" xfId="999"/>
    <cellStyle name="Note 4 7" xfId="1000"/>
    <cellStyle name="Note 4 8" xfId="1001"/>
    <cellStyle name="Note 4 9" xfId="1002"/>
    <cellStyle name="Note 5" xfId="1003"/>
    <cellStyle name="Note 5 10" xfId="1004"/>
    <cellStyle name="Note 5 11" xfId="1005"/>
    <cellStyle name="Note 5 12" xfId="1006"/>
    <cellStyle name="Note 5 13" xfId="1007"/>
    <cellStyle name="Note 5 14" xfId="1008"/>
    <cellStyle name="Note 5 15" xfId="1009"/>
    <cellStyle name="Note 5 16" xfId="1010"/>
    <cellStyle name="Note 5 17" xfId="1011"/>
    <cellStyle name="Note 5 18" xfId="1012"/>
    <cellStyle name="Note 5 19" xfId="1013"/>
    <cellStyle name="Note 5 2" xfId="1014"/>
    <cellStyle name="Note 5 20" xfId="1015"/>
    <cellStyle name="Note 5 21" xfId="1016"/>
    <cellStyle name="Note 5 22" xfId="1017"/>
    <cellStyle name="Note 5 23" xfId="1018"/>
    <cellStyle name="Note 5 24" xfId="1019"/>
    <cellStyle name="Note 5 25" xfId="1020"/>
    <cellStyle name="Note 5 26" xfId="1021"/>
    <cellStyle name="Note 5 27" xfId="1022"/>
    <cellStyle name="Note 5 3" xfId="1023"/>
    <cellStyle name="Note 5 4" xfId="1024"/>
    <cellStyle name="Note 5 5" xfId="1025"/>
    <cellStyle name="Note 5 6" xfId="1026"/>
    <cellStyle name="Note 5 7" xfId="1027"/>
    <cellStyle name="Note 5 8" xfId="1028"/>
    <cellStyle name="Note 5 9" xfId="1029"/>
    <cellStyle name="Note 6" xfId="1030"/>
    <cellStyle name="Note 6 10" xfId="1031"/>
    <cellStyle name="Note 6 11" xfId="1032"/>
    <cellStyle name="Note 6 12" xfId="1033"/>
    <cellStyle name="Note 6 13" xfId="1034"/>
    <cellStyle name="Note 6 14" xfId="1035"/>
    <cellStyle name="Note 6 15" xfId="1036"/>
    <cellStyle name="Note 6 16" xfId="1037"/>
    <cellStyle name="Note 6 17" xfId="1038"/>
    <cellStyle name="Note 6 18" xfId="1039"/>
    <cellStyle name="Note 6 19" xfId="1040"/>
    <cellStyle name="Note 6 2" xfId="1041"/>
    <cellStyle name="Note 6 20" xfId="1042"/>
    <cellStyle name="Note 6 21" xfId="1043"/>
    <cellStyle name="Note 6 22" xfId="1044"/>
    <cellStyle name="Note 6 23" xfId="1045"/>
    <cellStyle name="Note 6 24" xfId="1046"/>
    <cellStyle name="Note 6 25" xfId="1047"/>
    <cellStyle name="Note 6 26" xfId="1048"/>
    <cellStyle name="Note 6 27" xfId="1049"/>
    <cellStyle name="Note 6 3" xfId="1050"/>
    <cellStyle name="Note 6 4" xfId="1051"/>
    <cellStyle name="Note 6 5" xfId="1052"/>
    <cellStyle name="Note 6 6" xfId="1053"/>
    <cellStyle name="Note 6 7" xfId="1054"/>
    <cellStyle name="Note 6 8" xfId="1055"/>
    <cellStyle name="Note 6 9" xfId="1056"/>
    <cellStyle name="Note 7" xfId="1057"/>
    <cellStyle name="Note 7 10" xfId="1058"/>
    <cellStyle name="Note 7 11" xfId="1059"/>
    <cellStyle name="Note 7 12" xfId="1060"/>
    <cellStyle name="Note 7 13" xfId="1061"/>
    <cellStyle name="Note 7 14" xfId="1062"/>
    <cellStyle name="Note 7 15" xfId="1063"/>
    <cellStyle name="Note 7 16" xfId="1064"/>
    <cellStyle name="Note 7 17" xfId="1065"/>
    <cellStyle name="Note 7 18" xfId="1066"/>
    <cellStyle name="Note 7 19" xfId="1067"/>
    <cellStyle name="Note 7 2" xfId="1068"/>
    <cellStyle name="Note 7 20" xfId="1069"/>
    <cellStyle name="Note 7 21" xfId="1070"/>
    <cellStyle name="Note 7 22" xfId="1071"/>
    <cellStyle name="Note 7 23" xfId="1072"/>
    <cellStyle name="Note 7 24" xfId="1073"/>
    <cellStyle name="Note 7 25" xfId="1074"/>
    <cellStyle name="Note 7 26" xfId="1075"/>
    <cellStyle name="Note 7 27" xfId="1076"/>
    <cellStyle name="Note 7 3" xfId="1077"/>
    <cellStyle name="Note 7 4" xfId="1078"/>
    <cellStyle name="Note 7 5" xfId="1079"/>
    <cellStyle name="Note 7 6" xfId="1080"/>
    <cellStyle name="Note 7 7" xfId="1081"/>
    <cellStyle name="Note 7 8" xfId="1082"/>
    <cellStyle name="Note 7 9" xfId="1083"/>
    <cellStyle name="Output" xfId="27" builtinId="21" customBuiltin="1"/>
    <cellStyle name="Percent" xfId="5" builtinId="5"/>
    <cellStyle name="Percent 2" xfId="63"/>
    <cellStyle name="Percent 3" xfId="59"/>
    <cellStyle name="Title" xfId="18" builtinId="15" customBuiltin="1"/>
    <cellStyle name="Total" xfId="33" builtinId="25" customBuiltin="1"/>
    <cellStyle name="Warning Text" xfId="31" builtinId="11" customBuiltin="1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7"/>
    <pageSetUpPr fitToPage="1"/>
  </sheetPr>
  <dimension ref="A1:I78"/>
  <sheetViews>
    <sheetView tabSelected="1" zoomScale="85" zoomScaleNormal="85" zoomScalePageLayoutView="90" workbookViewId="0"/>
  </sheetViews>
  <sheetFormatPr defaultColWidth="8.75" defaultRowHeight="14.25"/>
  <cols>
    <col min="1" max="1" width="5.125" customWidth="1"/>
    <col min="2" max="2" width="40.375" bestFit="1" customWidth="1"/>
    <col min="3" max="3" width="1.125" customWidth="1"/>
    <col min="4" max="6" width="18" customWidth="1"/>
    <col min="7" max="7" width="1.125" customWidth="1"/>
    <col min="8" max="8" width="18" style="268" customWidth="1"/>
    <col min="9" max="9" width="33.375" customWidth="1"/>
  </cols>
  <sheetData>
    <row r="1" spans="1:9" ht="15">
      <c r="B1" s="1" t="s">
        <v>0</v>
      </c>
    </row>
    <row r="2" spans="1:9" ht="15">
      <c r="B2" s="259" t="s">
        <v>359</v>
      </c>
    </row>
    <row r="3" spans="1:9" ht="15">
      <c r="B3" s="7">
        <v>43280</v>
      </c>
    </row>
    <row r="4" spans="1:9" ht="5.25" customHeight="1" thickBot="1"/>
    <row r="5" spans="1:9" ht="18" customHeight="1">
      <c r="A5" s="9" t="s">
        <v>1</v>
      </c>
      <c r="B5" s="2"/>
      <c r="C5" s="13"/>
      <c r="D5" s="9" t="s">
        <v>351</v>
      </c>
      <c r="E5" s="9" t="s">
        <v>322</v>
      </c>
      <c r="F5" s="9" t="s">
        <v>2</v>
      </c>
      <c r="G5" s="13"/>
      <c r="H5" s="269" t="s">
        <v>360</v>
      </c>
      <c r="I5" s="3"/>
    </row>
    <row r="6" spans="1:9" ht="18" customHeight="1" thickBot="1">
      <c r="A6" s="10" t="s">
        <v>3</v>
      </c>
      <c r="B6" s="4" t="s">
        <v>4</v>
      </c>
      <c r="C6" s="14"/>
      <c r="D6" s="10" t="s">
        <v>303</v>
      </c>
      <c r="E6" s="10" t="s">
        <v>5</v>
      </c>
      <c r="F6" s="10" t="s">
        <v>303</v>
      </c>
      <c r="G6" s="14"/>
      <c r="H6" s="270">
        <v>2019</v>
      </c>
      <c r="I6" s="5" t="s">
        <v>6</v>
      </c>
    </row>
    <row r="7" spans="1:9" ht="9.75" customHeight="1"/>
    <row r="8" spans="1:9">
      <c r="A8" s="15"/>
      <c r="B8" s="21"/>
      <c r="C8" s="11"/>
      <c r="D8" s="8"/>
      <c r="E8" s="8"/>
      <c r="F8" s="8"/>
      <c r="G8" s="11"/>
      <c r="H8" s="271"/>
      <c r="I8" s="293"/>
    </row>
    <row r="9" spans="1:9" ht="44.25" customHeight="1">
      <c r="A9" s="15">
        <v>1</v>
      </c>
      <c r="B9" s="155" t="s">
        <v>7</v>
      </c>
      <c r="C9" s="11"/>
      <c r="D9" s="283">
        <v>118430</v>
      </c>
      <c r="E9" s="142"/>
      <c r="F9" s="142">
        <f>D9+E9</f>
        <v>118430</v>
      </c>
      <c r="G9" s="232"/>
      <c r="H9" s="307">
        <v>124352</v>
      </c>
      <c r="I9" s="136" t="s">
        <v>358</v>
      </c>
    </row>
    <row r="10" spans="1:9" ht="24.75" customHeight="1">
      <c r="A10" s="261">
        <v>2</v>
      </c>
      <c r="B10" s="262" t="s">
        <v>280</v>
      </c>
      <c r="C10" s="11"/>
      <c r="D10" s="272">
        <v>255</v>
      </c>
      <c r="E10" s="8"/>
      <c r="F10" s="142">
        <f>D10+E10</f>
        <v>255</v>
      </c>
      <c r="G10" s="232"/>
      <c r="H10" s="307">
        <v>300</v>
      </c>
      <c r="I10" s="295" t="s">
        <v>292</v>
      </c>
    </row>
    <row r="11" spans="1:9" ht="15">
      <c r="A11" s="261">
        <v>4</v>
      </c>
      <c r="B11" s="155" t="s">
        <v>8</v>
      </c>
      <c r="C11" s="166"/>
      <c r="D11" s="273"/>
      <c r="E11" s="166"/>
      <c r="F11" s="166"/>
      <c r="G11" s="235"/>
      <c r="H11" s="288"/>
      <c r="I11" s="296"/>
    </row>
    <row r="12" spans="1:9" s="258" customFormat="1">
      <c r="A12" s="261">
        <v>5</v>
      </c>
      <c r="B12" s="146" t="s">
        <v>277</v>
      </c>
      <c r="C12" s="232"/>
      <c r="D12" s="284">
        <v>8000</v>
      </c>
      <c r="E12" s="231"/>
      <c r="F12" s="142">
        <f t="shared" ref="F12:F24" si="0">D12+E12</f>
        <v>8000</v>
      </c>
      <c r="G12" s="232"/>
      <c r="H12" s="308">
        <v>8000</v>
      </c>
      <c r="I12" s="295" t="s">
        <v>357</v>
      </c>
    </row>
    <row r="13" spans="1:9" ht="24.75" customHeight="1">
      <c r="A13" s="261">
        <v>7</v>
      </c>
      <c r="B13" s="262" t="s">
        <v>281</v>
      </c>
      <c r="C13" s="11"/>
      <c r="D13" s="272">
        <v>2800</v>
      </c>
      <c r="E13" s="8"/>
      <c r="F13" s="231">
        <f t="shared" si="0"/>
        <v>2800</v>
      </c>
      <c r="G13" s="232"/>
      <c r="H13" s="307">
        <v>3000</v>
      </c>
      <c r="I13" s="295" t="s">
        <v>302</v>
      </c>
    </row>
    <row r="14" spans="1:9" ht="24.75" customHeight="1">
      <c r="A14" s="261">
        <v>8</v>
      </c>
      <c r="B14" s="262" t="s">
        <v>282</v>
      </c>
      <c r="C14" s="11"/>
      <c r="D14" s="284">
        <v>6500</v>
      </c>
      <c r="E14" s="8"/>
      <c r="F14" s="231">
        <f t="shared" si="0"/>
        <v>6500</v>
      </c>
      <c r="G14" s="232"/>
      <c r="H14" s="307">
        <v>6500</v>
      </c>
      <c r="I14" s="295" t="s">
        <v>296</v>
      </c>
    </row>
    <row r="15" spans="1:9" s="258" customFormat="1" ht="42.75">
      <c r="A15" s="261">
        <v>9</v>
      </c>
      <c r="B15" s="260" t="s">
        <v>283</v>
      </c>
      <c r="C15" s="232"/>
      <c r="D15" s="272">
        <v>38950</v>
      </c>
      <c r="E15" s="231"/>
      <c r="F15" s="231">
        <f t="shared" si="0"/>
        <v>38950</v>
      </c>
      <c r="G15" s="232"/>
      <c r="H15" s="308">
        <v>38950</v>
      </c>
      <c r="I15" s="136" t="s">
        <v>356</v>
      </c>
    </row>
    <row r="16" spans="1:9" s="258" customFormat="1" ht="28.5">
      <c r="A16" s="261">
        <v>10</v>
      </c>
      <c r="B16" s="260" t="s">
        <v>284</v>
      </c>
      <c r="C16" s="232"/>
      <c r="D16" s="272">
        <v>27510</v>
      </c>
      <c r="E16" s="231"/>
      <c r="F16" s="231">
        <f t="shared" si="0"/>
        <v>27510</v>
      </c>
      <c r="G16" s="232"/>
      <c r="H16" s="308">
        <v>28885</v>
      </c>
      <c r="I16" s="136" t="s">
        <v>355</v>
      </c>
    </row>
    <row r="17" spans="1:9" s="258" customFormat="1">
      <c r="A17" s="261">
        <v>11</v>
      </c>
      <c r="B17" s="260" t="s">
        <v>304</v>
      </c>
      <c r="C17" s="232"/>
      <c r="D17" s="272">
        <v>2800</v>
      </c>
      <c r="E17" s="231"/>
      <c r="F17" s="231">
        <f t="shared" si="0"/>
        <v>2800</v>
      </c>
      <c r="G17" s="232"/>
      <c r="H17" s="308">
        <f>D17*1.05</f>
        <v>2940</v>
      </c>
      <c r="I17" s="294" t="s">
        <v>298</v>
      </c>
    </row>
    <row r="18" spans="1:9" s="258" customFormat="1">
      <c r="A18" s="261">
        <v>12</v>
      </c>
      <c r="B18" s="260" t="s">
        <v>306</v>
      </c>
      <c r="C18" s="232"/>
      <c r="D18" s="272">
        <v>15995</v>
      </c>
      <c r="E18" s="231"/>
      <c r="F18" s="231">
        <f t="shared" si="0"/>
        <v>15995</v>
      </c>
      <c r="G18" s="232"/>
      <c r="H18" s="308"/>
      <c r="I18" s="294"/>
    </row>
    <row r="19" spans="1:9" s="258" customFormat="1" ht="28.5">
      <c r="A19" s="261">
        <v>13</v>
      </c>
      <c r="B19" s="260" t="s">
        <v>307</v>
      </c>
      <c r="C19" s="232"/>
      <c r="D19" s="272">
        <v>7436</v>
      </c>
      <c r="E19" s="235"/>
      <c r="F19" s="235">
        <f t="shared" si="0"/>
        <v>7436</v>
      </c>
      <c r="G19" s="232"/>
      <c r="H19" s="308">
        <v>9153</v>
      </c>
      <c r="I19" s="136" t="s">
        <v>308</v>
      </c>
    </row>
    <row r="20" spans="1:9" s="258" customFormat="1">
      <c r="A20" s="261">
        <v>14</v>
      </c>
      <c r="B20" s="262" t="s">
        <v>285</v>
      </c>
      <c r="C20" s="232"/>
      <c r="D20" s="272"/>
      <c r="E20" s="231"/>
      <c r="F20" s="231">
        <f t="shared" si="0"/>
        <v>0</v>
      </c>
      <c r="G20" s="232"/>
      <c r="H20" s="308"/>
      <c r="I20" s="294"/>
    </row>
    <row r="21" spans="1:9" s="258" customFormat="1">
      <c r="A21" s="261">
        <v>15</v>
      </c>
      <c r="B21" s="262" t="s">
        <v>285</v>
      </c>
      <c r="C21" s="232"/>
      <c r="D21" s="272"/>
      <c r="E21" s="231"/>
      <c r="F21" s="231">
        <f t="shared" si="0"/>
        <v>0</v>
      </c>
      <c r="G21" s="232"/>
      <c r="H21" s="308"/>
      <c r="I21" s="136"/>
    </row>
    <row r="22" spans="1:9" s="258" customFormat="1">
      <c r="A22" s="261">
        <v>16</v>
      </c>
      <c r="B22" s="262" t="s">
        <v>285</v>
      </c>
      <c r="C22" s="232"/>
      <c r="D22" s="272"/>
      <c r="E22" s="231"/>
      <c r="F22" s="231">
        <f t="shared" si="0"/>
        <v>0</v>
      </c>
      <c r="G22" s="232"/>
      <c r="H22" s="308"/>
      <c r="I22" s="297"/>
    </row>
    <row r="23" spans="1:9" s="258" customFormat="1">
      <c r="A23" s="261">
        <v>17</v>
      </c>
      <c r="B23" s="262" t="s">
        <v>286</v>
      </c>
      <c r="C23" s="232"/>
      <c r="D23" s="272"/>
      <c r="E23" s="231"/>
      <c r="F23" s="231">
        <f t="shared" si="0"/>
        <v>0</v>
      </c>
      <c r="G23" s="232"/>
      <c r="H23" s="308"/>
      <c r="I23" s="297"/>
    </row>
    <row r="24" spans="1:9">
      <c r="A24" s="261">
        <v>18</v>
      </c>
      <c r="B24" s="262" t="s">
        <v>286</v>
      </c>
      <c r="C24" s="232"/>
      <c r="D24" s="272"/>
      <c r="E24" s="231"/>
      <c r="F24" s="235">
        <f t="shared" si="0"/>
        <v>0</v>
      </c>
      <c r="G24" s="232"/>
      <c r="H24" s="307"/>
      <c r="I24" s="298"/>
    </row>
    <row r="25" spans="1:9" ht="24.75" customHeight="1">
      <c r="A25" s="261">
        <v>19</v>
      </c>
      <c r="B25" s="155" t="s">
        <v>9</v>
      </c>
      <c r="C25" s="166"/>
      <c r="D25" s="273"/>
      <c r="E25" s="166"/>
      <c r="F25" s="166"/>
      <c r="G25" s="235"/>
      <c r="H25" s="288"/>
      <c r="I25" s="296"/>
    </row>
    <row r="26" spans="1:9" ht="51">
      <c r="A26" s="261">
        <v>20</v>
      </c>
      <c r="B26" s="21" t="s">
        <v>287</v>
      </c>
      <c r="C26" s="11"/>
      <c r="D26" s="272">
        <v>280000</v>
      </c>
      <c r="E26" s="8"/>
      <c r="F26" s="142">
        <f t="shared" ref="F26:F27" si="1">D26+E26</f>
        <v>280000</v>
      </c>
      <c r="G26" s="232"/>
      <c r="H26" s="307">
        <v>288400</v>
      </c>
      <c r="I26" s="299" t="s">
        <v>299</v>
      </c>
    </row>
    <row r="27" spans="1:9" s="258" customFormat="1" ht="24.75" customHeight="1">
      <c r="A27" s="261">
        <v>21</v>
      </c>
      <c r="B27" s="21" t="s">
        <v>295</v>
      </c>
      <c r="C27" s="232"/>
      <c r="D27" s="272">
        <v>3500</v>
      </c>
      <c r="E27" s="231"/>
      <c r="F27" s="266">
        <f t="shared" si="1"/>
        <v>3500</v>
      </c>
      <c r="G27" s="232"/>
      <c r="H27" s="308">
        <v>3500</v>
      </c>
      <c r="I27" s="299" t="s">
        <v>305</v>
      </c>
    </row>
    <row r="28" spans="1:9" ht="24.75" customHeight="1">
      <c r="A28" s="261">
        <v>22</v>
      </c>
      <c r="B28" s="155" t="s">
        <v>10</v>
      </c>
      <c r="C28" s="166"/>
      <c r="D28" s="273"/>
      <c r="E28" s="166"/>
      <c r="F28" s="166"/>
      <c r="G28" s="235"/>
      <c r="H28" s="288"/>
      <c r="I28" s="296"/>
    </row>
    <row r="29" spans="1:9" ht="19.5" customHeight="1">
      <c r="A29" s="261">
        <v>23</v>
      </c>
      <c r="B29" s="21" t="s">
        <v>279</v>
      </c>
      <c r="C29" s="11"/>
      <c r="D29" s="272">
        <v>1000</v>
      </c>
      <c r="E29" s="77"/>
      <c r="F29" s="142">
        <f t="shared" ref="F29:F30" si="2">D29+E29</f>
        <v>1000</v>
      </c>
      <c r="G29" s="232"/>
      <c r="H29" s="307">
        <v>1000</v>
      </c>
      <c r="I29" s="293" t="s">
        <v>288</v>
      </c>
    </row>
    <row r="30" spans="1:9" ht="25.5">
      <c r="A30" s="261">
        <v>24</v>
      </c>
      <c r="B30" s="21" t="s">
        <v>11</v>
      </c>
      <c r="C30" s="11"/>
      <c r="D30" s="272">
        <v>7000</v>
      </c>
      <c r="E30" s="8"/>
      <c r="F30" s="142">
        <f t="shared" si="2"/>
        <v>7000</v>
      </c>
      <c r="G30" s="232"/>
      <c r="H30" s="307">
        <v>10000</v>
      </c>
      <c r="I30" s="293" t="s">
        <v>323</v>
      </c>
    </row>
    <row r="31" spans="1:9" ht="24.75" customHeight="1">
      <c r="A31" s="261">
        <v>25</v>
      </c>
      <c r="B31" s="155" t="s">
        <v>12</v>
      </c>
      <c r="C31" s="166"/>
      <c r="D31" s="273"/>
      <c r="E31" s="166"/>
      <c r="F31" s="166"/>
      <c r="G31" s="235"/>
      <c r="H31" s="288"/>
      <c r="I31" s="296"/>
    </row>
    <row r="32" spans="1:9" ht="24.75" customHeight="1">
      <c r="A32" s="261">
        <v>26</v>
      </c>
      <c r="B32" s="21" t="s">
        <v>13</v>
      </c>
      <c r="C32" s="11"/>
      <c r="D32" s="272">
        <v>2500</v>
      </c>
      <c r="E32" s="77"/>
      <c r="F32" s="142">
        <f t="shared" ref="F32:F34" si="3">D32+E32</f>
        <v>2500</v>
      </c>
      <c r="G32" s="232"/>
      <c r="H32" s="307">
        <v>3000</v>
      </c>
      <c r="I32" s="293" t="s">
        <v>289</v>
      </c>
    </row>
    <row r="33" spans="1:9" ht="24.75" customHeight="1">
      <c r="A33" s="261">
        <v>27</v>
      </c>
      <c r="B33" s="21" t="s">
        <v>14</v>
      </c>
      <c r="C33" s="11"/>
      <c r="D33" s="272">
        <v>38000</v>
      </c>
      <c r="E33" s="77"/>
      <c r="F33" s="142">
        <f t="shared" si="3"/>
        <v>38000</v>
      </c>
      <c r="G33" s="232"/>
      <c r="H33" s="307">
        <v>38000</v>
      </c>
      <c r="I33" s="293" t="s">
        <v>324</v>
      </c>
    </row>
    <row r="34" spans="1:9" ht="24.75" customHeight="1">
      <c r="A34" s="261">
        <v>28</v>
      </c>
      <c r="B34" s="22" t="s">
        <v>15</v>
      </c>
      <c r="C34" s="11"/>
      <c r="D34" s="272">
        <v>5000</v>
      </c>
      <c r="E34" s="8"/>
      <c r="F34" s="236">
        <f t="shared" si="3"/>
        <v>5000</v>
      </c>
      <c r="G34" s="232"/>
      <c r="H34" s="307">
        <v>5000</v>
      </c>
      <c r="I34" s="300"/>
    </row>
    <row r="35" spans="1:9" ht="24.75" customHeight="1">
      <c r="A35" s="261">
        <v>29</v>
      </c>
      <c r="B35" s="155" t="s">
        <v>16</v>
      </c>
      <c r="C35" s="166"/>
      <c r="D35" s="273"/>
      <c r="E35" s="166"/>
      <c r="F35" s="166"/>
      <c r="G35" s="235"/>
      <c r="H35" s="288"/>
      <c r="I35" s="296"/>
    </row>
    <row r="36" spans="1:9" ht="39">
      <c r="A36" s="261">
        <v>30</v>
      </c>
      <c r="B36" s="165" t="s">
        <v>17</v>
      </c>
      <c r="C36" s="11"/>
      <c r="D36" s="272">
        <v>99792</v>
      </c>
      <c r="E36" s="77"/>
      <c r="F36" s="266">
        <f t="shared" ref="F36:F40" si="4">D36+E36</f>
        <v>99792</v>
      </c>
      <c r="G36" s="232"/>
      <c r="H36" s="307">
        <v>102600</v>
      </c>
      <c r="I36" s="293" t="s">
        <v>325</v>
      </c>
    </row>
    <row r="37" spans="1:9" ht="34.5" customHeight="1">
      <c r="A37" s="261">
        <v>31</v>
      </c>
      <c r="B37" s="22" t="s">
        <v>18</v>
      </c>
      <c r="C37" s="12"/>
      <c r="D37" s="272">
        <v>20000</v>
      </c>
      <c r="E37" s="235"/>
      <c r="F37" s="236">
        <f t="shared" si="4"/>
        <v>20000</v>
      </c>
      <c r="G37" s="232"/>
      <c r="H37" s="307">
        <v>30000</v>
      </c>
      <c r="I37" s="301" t="s">
        <v>367</v>
      </c>
    </row>
    <row r="38" spans="1:9" s="258" customFormat="1" ht="34.5" customHeight="1">
      <c r="A38" s="261">
        <v>32</v>
      </c>
      <c r="B38" s="22" t="s">
        <v>369</v>
      </c>
      <c r="C38" s="12"/>
      <c r="D38" s="272">
        <v>10000</v>
      </c>
      <c r="E38" s="235"/>
      <c r="F38" s="236">
        <f t="shared" si="4"/>
        <v>10000</v>
      </c>
      <c r="G38" s="232"/>
      <c r="H38" s="308">
        <v>15000</v>
      </c>
      <c r="I38" s="301" t="s">
        <v>370</v>
      </c>
    </row>
    <row r="39" spans="1:9">
      <c r="A39" s="261">
        <v>33</v>
      </c>
      <c r="B39" s="22" t="s">
        <v>266</v>
      </c>
      <c r="C39" s="12"/>
      <c r="D39" s="272">
        <v>9000</v>
      </c>
      <c r="E39" s="164"/>
      <c r="F39" s="236">
        <f t="shared" si="4"/>
        <v>9000</v>
      </c>
      <c r="G39" s="232"/>
      <c r="H39" s="307">
        <v>9000</v>
      </c>
      <c r="I39" s="301" t="s">
        <v>354</v>
      </c>
    </row>
    <row r="40" spans="1:9" ht="42.75">
      <c r="A40" s="261">
        <v>34</v>
      </c>
      <c r="B40" s="22" t="s">
        <v>297</v>
      </c>
      <c r="C40" s="12"/>
      <c r="D40" s="272">
        <v>12000</v>
      </c>
      <c r="E40" s="85"/>
      <c r="F40" s="236">
        <f t="shared" si="4"/>
        <v>12000</v>
      </c>
      <c r="G40" s="232"/>
      <c r="H40" s="307">
        <v>20000</v>
      </c>
      <c r="I40" s="301" t="s">
        <v>368</v>
      </c>
    </row>
    <row r="41" spans="1:9" ht="24.75" customHeight="1">
      <c r="A41" s="261">
        <v>35</v>
      </c>
      <c r="B41" s="167" t="s">
        <v>19</v>
      </c>
      <c r="C41" s="12"/>
      <c r="D41" s="274">
        <f>SUM(D36:D40)</f>
        <v>150792</v>
      </c>
      <c r="E41" s="192"/>
      <c r="F41" s="274">
        <f>SUM(F36:F40)</f>
        <v>150792</v>
      </c>
      <c r="G41" s="12"/>
      <c r="H41" s="288">
        <f>SUM(H36:H40)</f>
        <v>176600</v>
      </c>
      <c r="I41" s="296"/>
    </row>
    <row r="42" spans="1:9" ht="24.75" customHeight="1">
      <c r="A42" s="261">
        <v>36</v>
      </c>
      <c r="B42" s="155" t="s">
        <v>20</v>
      </c>
      <c r="C42" s="166"/>
      <c r="D42" s="275"/>
      <c r="E42" s="166"/>
      <c r="F42" s="166"/>
      <c r="G42" s="166"/>
      <c r="H42" s="289"/>
      <c r="I42" s="296"/>
    </row>
    <row r="43" spans="1:9">
      <c r="A43" s="261">
        <v>37</v>
      </c>
      <c r="B43" s="22" t="s">
        <v>21</v>
      </c>
      <c r="C43" s="11"/>
      <c r="D43" s="276"/>
      <c r="E43" s="235"/>
      <c r="F43" s="8"/>
      <c r="G43" s="11"/>
      <c r="H43" s="307"/>
      <c r="I43" s="302" t="s">
        <v>338</v>
      </c>
    </row>
    <row r="44" spans="1:9">
      <c r="A44" s="261">
        <v>38</v>
      </c>
      <c r="B44" s="22" t="s">
        <v>22</v>
      </c>
      <c r="C44" s="11"/>
      <c r="D44" s="276"/>
      <c r="E44" s="8"/>
      <c r="F44" s="8"/>
      <c r="G44" s="11"/>
      <c r="H44" s="307"/>
      <c r="I44" s="302" t="s">
        <v>339</v>
      </c>
    </row>
    <row r="45" spans="1:9">
      <c r="A45" s="261">
        <v>39</v>
      </c>
      <c r="B45" s="22" t="s">
        <v>23</v>
      </c>
      <c r="C45" s="11"/>
      <c r="D45" s="276"/>
      <c r="E45" s="8"/>
      <c r="F45" s="8"/>
      <c r="G45" s="11"/>
      <c r="H45" s="307"/>
      <c r="I45" s="302" t="s">
        <v>340</v>
      </c>
    </row>
    <row r="46" spans="1:9" ht="24.75" customHeight="1">
      <c r="A46" s="261">
        <v>40</v>
      </c>
      <c r="B46" s="22" t="s">
        <v>24</v>
      </c>
      <c r="C46" s="11"/>
      <c r="D46" s="277">
        <v>29495</v>
      </c>
      <c r="E46" s="76">
        <v>-29495</v>
      </c>
      <c r="F46" s="76">
        <f t="shared" ref="F46" si="5">D46+E46</f>
        <v>0</v>
      </c>
      <c r="G46" s="11"/>
      <c r="H46" s="290">
        <v>-20500</v>
      </c>
      <c r="I46" s="303"/>
    </row>
    <row r="47" spans="1:9" ht="24.75" customHeight="1" thickBot="1">
      <c r="A47" s="261">
        <v>41</v>
      </c>
      <c r="B47" s="23"/>
      <c r="C47" s="18"/>
      <c r="D47" s="278"/>
      <c r="E47" s="17"/>
      <c r="F47" s="17"/>
      <c r="G47" s="18"/>
      <c r="H47" s="307"/>
      <c r="I47" s="304"/>
    </row>
    <row r="48" spans="1:9" ht="22.5" customHeight="1" thickBot="1">
      <c r="A48" s="261">
        <v>42</v>
      </c>
      <c r="B48" s="83" t="s">
        <v>25</v>
      </c>
      <c r="C48" s="84"/>
      <c r="D48" s="279">
        <f>SUM(D9:D47)-D41</f>
        <v>745963</v>
      </c>
      <c r="E48" s="154">
        <f>SUM(E9:E47)-E41</f>
        <v>-29495</v>
      </c>
      <c r="F48" s="154">
        <f>SUM(F9:F47)-F41</f>
        <v>716468</v>
      </c>
      <c r="G48" s="84"/>
      <c r="H48" s="311">
        <f>SUM(H9:H47)-H41</f>
        <v>727080</v>
      </c>
      <c r="I48" s="305" t="s">
        <v>26</v>
      </c>
    </row>
    <row r="49" spans="1:9" ht="15" customHeight="1">
      <c r="A49" s="261">
        <v>43</v>
      </c>
      <c r="B49" s="26"/>
      <c r="C49" s="20"/>
      <c r="D49" s="280"/>
      <c r="E49" s="19"/>
      <c r="F49" s="19"/>
      <c r="G49" s="20"/>
      <c r="H49" s="307"/>
      <c r="I49" s="306"/>
    </row>
    <row r="50" spans="1:9" ht="24.75" customHeight="1">
      <c r="A50" s="261">
        <v>44</v>
      </c>
      <c r="B50" s="24" t="s">
        <v>278</v>
      </c>
      <c r="C50" s="11"/>
      <c r="D50" s="281">
        <v>224000</v>
      </c>
      <c r="E50" s="8"/>
      <c r="F50" s="180">
        <v>224000</v>
      </c>
      <c r="G50" s="11"/>
      <c r="H50" s="281">
        <v>224000</v>
      </c>
      <c r="I50" s="300"/>
    </row>
    <row r="51" spans="1:9" ht="15.75" customHeight="1" thickBot="1">
      <c r="A51" s="261">
        <v>45</v>
      </c>
      <c r="B51" s="24"/>
      <c r="C51" s="11"/>
      <c r="D51" s="271"/>
      <c r="E51" s="8"/>
      <c r="F51" s="8"/>
      <c r="G51" s="11"/>
      <c r="H51" s="287"/>
      <c r="I51" s="8"/>
    </row>
    <row r="52" spans="1:9" ht="24.75" customHeight="1" thickBot="1">
      <c r="A52" s="261">
        <v>46</v>
      </c>
      <c r="B52" s="25" t="s">
        <v>27</v>
      </c>
      <c r="C52" s="130"/>
      <c r="D52" s="282"/>
      <c r="E52" s="257"/>
      <c r="F52" s="147">
        <f>Carryover!C106</f>
        <v>88855.249999999985</v>
      </c>
      <c r="G52" s="130"/>
      <c r="H52" s="291"/>
      <c r="I52" s="136" t="s">
        <v>28</v>
      </c>
    </row>
    <row r="53" spans="1:9" ht="24.75" customHeight="1">
      <c r="A53" s="261"/>
      <c r="B53" s="21"/>
      <c r="C53" s="11"/>
      <c r="D53" s="19"/>
      <c r="E53" s="19"/>
      <c r="F53" s="19"/>
      <c r="G53" s="11"/>
      <c r="H53" s="292"/>
      <c r="I53" s="8"/>
    </row>
    <row r="54" spans="1:9" ht="6.75" customHeight="1"/>
    <row r="60" spans="1:9" ht="15">
      <c r="A60" s="1"/>
    </row>
    <row r="62" spans="1:9" ht="15">
      <c r="B62" s="1"/>
    </row>
    <row r="73" spans="2:2" ht="24.75" customHeight="1">
      <c r="B73" s="1"/>
    </row>
    <row r="74" spans="2:2" ht="29.25" customHeight="1"/>
    <row r="78" spans="2:2" ht="24" customHeight="1">
      <c r="B78" s="1"/>
    </row>
  </sheetData>
  <phoneticPr fontId="0" type="noConversion"/>
  <printOptions horizontalCentered="1"/>
  <pageMargins left="0.36" right="0.35" top="0.48" bottom="0.56999999999999995" header="0.22" footer="0.27"/>
  <pageSetup scale="78" fitToHeight="2" orientation="landscape" verticalDpi="300" r:id="rId1"/>
  <headerFooter>
    <oddHeader>&amp;C&amp;K0000002019 Recommended MORE Budget</oddHeader>
    <oddFooter>&amp;C2019 Recommended MORE Budget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  <pageSetUpPr fitToPage="1"/>
  </sheetPr>
  <dimension ref="A5:F118"/>
  <sheetViews>
    <sheetView topLeftCell="A102" zoomScale="83" zoomScaleNormal="83" workbookViewId="0">
      <selection activeCell="F118" sqref="F118"/>
    </sheetView>
  </sheetViews>
  <sheetFormatPr defaultColWidth="8.75" defaultRowHeight="14.25"/>
  <cols>
    <col min="1" max="1" width="5.125" customWidth="1"/>
    <col min="2" max="2" width="41.75" customWidth="1"/>
    <col min="3" max="3" width="17.875" customWidth="1"/>
    <col min="4" max="4" width="3.75" customWidth="1"/>
    <col min="5" max="5" width="13.625" customWidth="1"/>
    <col min="6" max="6" width="15.875" customWidth="1"/>
    <col min="7" max="7" width="1.125" customWidth="1"/>
    <col min="8" max="9" width="18" customWidth="1"/>
  </cols>
  <sheetData>
    <row r="5" spans="1:6" ht="15">
      <c r="A5" s="1" t="s">
        <v>29</v>
      </c>
      <c r="E5" s="190" t="s">
        <v>30</v>
      </c>
    </row>
    <row r="6" spans="1:6" ht="15.75" hidden="1" thickBot="1">
      <c r="E6" s="190" t="s">
        <v>31</v>
      </c>
      <c r="F6" s="193" t="s">
        <v>32</v>
      </c>
    </row>
    <row r="7" spans="1:6" ht="15.75" hidden="1" thickBot="1">
      <c r="B7" s="1" t="s">
        <v>33</v>
      </c>
      <c r="C7" s="132">
        <v>490267.7</v>
      </c>
      <c r="F7" s="182">
        <v>300000</v>
      </c>
    </row>
    <row r="8" spans="1:6" hidden="1">
      <c r="B8" t="s">
        <v>34</v>
      </c>
      <c r="C8" s="133">
        <v>-300000</v>
      </c>
    </row>
    <row r="9" spans="1:6" hidden="1">
      <c r="B9" t="s">
        <v>35</v>
      </c>
      <c r="C9" s="133">
        <v>-46260</v>
      </c>
    </row>
    <row r="10" spans="1:6" hidden="1">
      <c r="B10" t="s">
        <v>36</v>
      </c>
      <c r="C10" s="133">
        <v>43000</v>
      </c>
    </row>
    <row r="11" spans="1:6" hidden="1">
      <c r="B11" t="s">
        <v>37</v>
      </c>
      <c r="C11" s="133">
        <v>18000</v>
      </c>
    </row>
    <row r="12" spans="1:6" hidden="1">
      <c r="B12" t="s">
        <v>38</v>
      </c>
      <c r="C12" s="134">
        <v>27000</v>
      </c>
    </row>
    <row r="13" spans="1:6" hidden="1">
      <c r="B13" t="s">
        <v>39</v>
      </c>
      <c r="C13" s="134">
        <v>18000</v>
      </c>
    </row>
    <row r="14" spans="1:6" hidden="1">
      <c r="B14" t="s">
        <v>40</v>
      </c>
      <c r="C14" s="134">
        <v>27000</v>
      </c>
    </row>
    <row r="15" spans="1:6" hidden="1">
      <c r="B15" t="s">
        <v>41</v>
      </c>
      <c r="C15" s="134">
        <v>-32950</v>
      </c>
    </row>
    <row r="16" spans="1:6" hidden="1">
      <c r="B16" t="s">
        <v>42</v>
      </c>
      <c r="C16" s="134">
        <v>-6544</v>
      </c>
    </row>
    <row r="17" spans="2:5" ht="15" hidden="1" thickBot="1">
      <c r="B17" t="s">
        <v>43</v>
      </c>
      <c r="C17" s="134">
        <v>30177.18</v>
      </c>
    </row>
    <row r="18" spans="2:5" ht="24.75" hidden="1" customHeight="1" thickBot="1">
      <c r="B18" s="1" t="s">
        <v>44</v>
      </c>
      <c r="C18" s="131">
        <f>SUM(C7:C17)</f>
        <v>267690.88</v>
      </c>
      <c r="E18" s="131">
        <f>C18+300000</f>
        <v>567690.88</v>
      </c>
    </row>
    <row r="19" spans="2:5" ht="29.25" hidden="1" customHeight="1">
      <c r="B19" t="s">
        <v>45</v>
      </c>
      <c r="C19" s="129">
        <v>-104250</v>
      </c>
    </row>
    <row r="20" spans="2:5" hidden="1">
      <c r="B20" t="s">
        <v>46</v>
      </c>
      <c r="C20" s="133">
        <v>-4853</v>
      </c>
    </row>
    <row r="21" spans="2:5" hidden="1">
      <c r="B21" t="s">
        <v>47</v>
      </c>
      <c r="C21" s="133">
        <v>31500</v>
      </c>
    </row>
    <row r="22" spans="2:5" hidden="1">
      <c r="B22" t="s">
        <v>48</v>
      </c>
      <c r="C22" s="133">
        <v>27000</v>
      </c>
    </row>
    <row r="23" spans="2:5" hidden="1">
      <c r="B23" t="s">
        <v>41</v>
      </c>
      <c r="C23" s="133">
        <v>-23507</v>
      </c>
    </row>
    <row r="24" spans="2:5" hidden="1">
      <c r="B24" t="s">
        <v>49</v>
      </c>
      <c r="C24" s="133">
        <v>-3029</v>
      </c>
    </row>
    <row r="25" spans="2:5" ht="15" hidden="1" thickBot="1">
      <c r="B25" t="s">
        <v>50</v>
      </c>
      <c r="C25" s="133">
        <v>-27524.5</v>
      </c>
    </row>
    <row r="26" spans="2:5" ht="24" hidden="1" customHeight="1" thickBot="1">
      <c r="B26" s="50" t="s">
        <v>51</v>
      </c>
      <c r="C26" s="131">
        <f>SUM(C18:C25)</f>
        <v>163027.38</v>
      </c>
      <c r="E26" s="131">
        <f>C26+300000</f>
        <v>463027.38</v>
      </c>
    </row>
    <row r="27" spans="2:5" ht="31.5" hidden="1" customHeight="1">
      <c r="B27" t="s">
        <v>52</v>
      </c>
      <c r="C27" s="135">
        <f>-5918-12500-1294.81-259-3500</f>
        <v>-23471.81</v>
      </c>
    </row>
    <row r="28" spans="2:5" hidden="1">
      <c r="B28" t="s">
        <v>53</v>
      </c>
      <c r="C28" s="133">
        <v>-6312</v>
      </c>
      <c r="D28" t="s">
        <v>54</v>
      </c>
    </row>
    <row r="29" spans="2:5" hidden="1">
      <c r="B29" t="s">
        <v>55</v>
      </c>
      <c r="C29" s="133">
        <v>40500</v>
      </c>
      <c r="D29" t="s">
        <v>56</v>
      </c>
    </row>
    <row r="30" spans="2:5" hidden="1">
      <c r="B30" t="s">
        <v>57</v>
      </c>
      <c r="C30" s="133">
        <v>18000</v>
      </c>
      <c r="D30" t="s">
        <v>56</v>
      </c>
    </row>
    <row r="31" spans="2:5" hidden="1">
      <c r="B31" t="s">
        <v>58</v>
      </c>
      <c r="C31" s="133">
        <v>31500</v>
      </c>
      <c r="D31" t="s">
        <v>59</v>
      </c>
      <c r="E31" s="137" t="s">
        <v>60</v>
      </c>
    </row>
    <row r="32" spans="2:5" hidden="1">
      <c r="B32" t="s">
        <v>61</v>
      </c>
      <c r="C32" s="133">
        <v>18000</v>
      </c>
      <c r="D32" t="s">
        <v>56</v>
      </c>
    </row>
    <row r="33" spans="2:5" hidden="1">
      <c r="B33" t="s">
        <v>62</v>
      </c>
      <c r="C33" s="133">
        <v>54000</v>
      </c>
      <c r="D33" t="s">
        <v>56</v>
      </c>
    </row>
    <row r="34" spans="2:5" hidden="1">
      <c r="B34" t="s">
        <v>63</v>
      </c>
      <c r="C34" s="133">
        <v>13500</v>
      </c>
      <c r="D34" t="s">
        <v>64</v>
      </c>
    </row>
    <row r="35" spans="2:5" hidden="1">
      <c r="B35" t="s">
        <v>65</v>
      </c>
      <c r="C35" s="133">
        <v>-117625</v>
      </c>
    </row>
    <row r="36" spans="2:5" hidden="1">
      <c r="B36" t="s">
        <v>41</v>
      </c>
      <c r="C36" s="133">
        <f>-18750-6750-6750-1462.5</f>
        <v>-33712.5</v>
      </c>
    </row>
    <row r="37" spans="2:5" hidden="1">
      <c r="B37" t="s">
        <v>49</v>
      </c>
      <c r="C37" s="133">
        <f>-11017.27-1150.34</f>
        <v>-12167.61</v>
      </c>
    </row>
    <row r="38" spans="2:5" hidden="1">
      <c r="B38" t="s">
        <v>66</v>
      </c>
      <c r="C38" s="133">
        <v>-3376.25</v>
      </c>
    </row>
    <row r="39" spans="2:5" hidden="1">
      <c r="B39" t="s">
        <v>67</v>
      </c>
      <c r="C39" s="133">
        <v>-11625</v>
      </c>
    </row>
    <row r="40" spans="2:5" ht="15" hidden="1" thickBot="1">
      <c r="B40" t="s">
        <v>68</v>
      </c>
      <c r="C40">
        <v>3240.49</v>
      </c>
    </row>
    <row r="41" spans="2:5" ht="30.75" hidden="1" customHeight="1" thickBot="1">
      <c r="B41" s="50" t="s">
        <v>69</v>
      </c>
      <c r="C41" s="131">
        <f>SUM(C26:C40)</f>
        <v>133477.70000000001</v>
      </c>
      <c r="E41" s="131">
        <f>C41+300000</f>
        <v>433477.7</v>
      </c>
    </row>
    <row r="42" spans="2:5" ht="29.25" hidden="1" customHeight="1">
      <c r="B42" t="s">
        <v>70</v>
      </c>
      <c r="C42" s="135">
        <f>-13125-79875-9000</f>
        <v>-102000</v>
      </c>
    </row>
    <row r="43" spans="2:5" hidden="1">
      <c r="B43" t="s">
        <v>71</v>
      </c>
      <c r="C43" s="133">
        <v>-18286.02</v>
      </c>
    </row>
    <row r="44" spans="2:5" hidden="1">
      <c r="B44" t="s">
        <v>72</v>
      </c>
      <c r="C44" s="133">
        <v>-3623.75</v>
      </c>
    </row>
    <row r="45" spans="2:5" hidden="1">
      <c r="B45" t="s">
        <v>73</v>
      </c>
      <c r="C45" s="133">
        <v>88678</v>
      </c>
    </row>
    <row r="46" spans="2:5" hidden="1">
      <c r="B46" t="s">
        <v>74</v>
      </c>
      <c r="C46" s="133">
        <v>-20825</v>
      </c>
    </row>
    <row r="47" spans="2:5" hidden="1">
      <c r="B47" t="s">
        <v>75</v>
      </c>
      <c r="C47" s="133">
        <v>-2125</v>
      </c>
    </row>
    <row r="48" spans="2:5" hidden="1">
      <c r="B48" t="s">
        <v>76</v>
      </c>
      <c r="C48" s="133">
        <v>-877.94</v>
      </c>
    </row>
    <row r="49" spans="2:6" hidden="1">
      <c r="B49" t="s">
        <v>77</v>
      </c>
      <c r="C49" s="133">
        <v>-3000</v>
      </c>
    </row>
    <row r="50" spans="2:6" hidden="1">
      <c r="B50" t="s">
        <v>78</v>
      </c>
      <c r="C50" s="133">
        <v>-15000</v>
      </c>
    </row>
    <row r="51" spans="2:6" ht="15" hidden="1" thickBot="1">
      <c r="B51" t="s">
        <v>79</v>
      </c>
      <c r="C51" s="133">
        <v>11626.97</v>
      </c>
    </row>
    <row r="52" spans="2:6" ht="30.75" hidden="1" customHeight="1" thickBot="1">
      <c r="B52" s="50" t="s">
        <v>80</v>
      </c>
      <c r="C52" s="131">
        <f>SUM(C41:C51)</f>
        <v>68044.960000000006</v>
      </c>
      <c r="E52" s="131">
        <f>C52+300000</f>
        <v>368044.96</v>
      </c>
      <c r="F52" s="182">
        <v>300000</v>
      </c>
    </row>
    <row r="53" spans="2:6" ht="28.5" hidden="1" customHeight="1">
      <c r="B53" t="s">
        <v>81</v>
      </c>
      <c r="C53" s="135">
        <v>-40850</v>
      </c>
    </row>
    <row r="54" spans="2:6" hidden="1">
      <c r="B54" t="s">
        <v>73</v>
      </c>
      <c r="C54" s="133">
        <v>30678</v>
      </c>
    </row>
    <row r="55" spans="2:6" hidden="1">
      <c r="B55" t="s">
        <v>82</v>
      </c>
      <c r="C55" s="133">
        <v>13500</v>
      </c>
    </row>
    <row r="56" spans="2:6" hidden="1">
      <c r="B56" t="s">
        <v>83</v>
      </c>
      <c r="C56" s="161">
        <v>-4950</v>
      </c>
    </row>
    <row r="57" spans="2:6" ht="15" hidden="1" thickBot="1">
      <c r="B57" t="s">
        <v>84</v>
      </c>
      <c r="C57" s="161">
        <v>5394.93</v>
      </c>
      <c r="F57" s="193" t="s">
        <v>32</v>
      </c>
    </row>
    <row r="58" spans="2:6" ht="30.75" hidden="1" customHeight="1" thickBot="1">
      <c r="B58" s="50" t="s">
        <v>85</v>
      </c>
      <c r="C58" s="131">
        <f>SUM(C52:C57)</f>
        <v>71817.890000000014</v>
      </c>
      <c r="E58" s="131">
        <f>C58+300000</f>
        <v>371817.89</v>
      </c>
      <c r="F58" s="182">
        <v>300000</v>
      </c>
    </row>
    <row r="59" spans="2:6" ht="27.75" hidden="1" customHeight="1"/>
    <row r="60" spans="2:6" hidden="1">
      <c r="B60" t="s">
        <v>86</v>
      </c>
      <c r="C60" s="135">
        <v>-14000</v>
      </c>
    </row>
    <row r="61" spans="2:6" hidden="1">
      <c r="B61" t="s">
        <v>87</v>
      </c>
      <c r="C61" s="129">
        <v>27000</v>
      </c>
    </row>
    <row r="62" spans="2:6" hidden="1">
      <c r="B62" t="s">
        <v>88</v>
      </c>
      <c r="C62" s="129">
        <v>36000</v>
      </c>
    </row>
    <row r="63" spans="2:6" hidden="1">
      <c r="B63" t="s">
        <v>89</v>
      </c>
      <c r="C63" s="129">
        <v>-7500</v>
      </c>
    </row>
    <row r="64" spans="2:6" hidden="1">
      <c r="B64" t="s">
        <v>90</v>
      </c>
      <c r="C64" s="129">
        <v>-7500</v>
      </c>
    </row>
    <row r="65" spans="2:6" hidden="1">
      <c r="B65" t="s">
        <v>91</v>
      </c>
      <c r="C65" s="133">
        <v>-944</v>
      </c>
    </row>
    <row r="66" spans="2:6" ht="15" hidden="1" thickBot="1">
      <c r="B66" s="194" t="s">
        <v>92</v>
      </c>
      <c r="C66" s="181">
        <v>-25401.83</v>
      </c>
      <c r="E66" s="183"/>
      <c r="F66" s="193" t="s">
        <v>32</v>
      </c>
    </row>
    <row r="67" spans="2:6" ht="30.75" hidden="1" customHeight="1" thickBot="1">
      <c r="B67" s="233" t="s">
        <v>273</v>
      </c>
      <c r="C67" s="131">
        <f>E58-F58+SUM(C60:C66)</f>
        <v>79472.060000000012</v>
      </c>
      <c r="E67" s="131">
        <f>C67+298509</f>
        <v>377981.06</v>
      </c>
      <c r="F67" s="182">
        <v>280317</v>
      </c>
    </row>
    <row r="68" spans="2:6" ht="27.75" hidden="1" customHeight="1"/>
    <row r="69" spans="2:6" hidden="1">
      <c r="B69" t="s">
        <v>93</v>
      </c>
      <c r="C69" s="135">
        <v>0</v>
      </c>
    </row>
    <row r="70" spans="2:6" hidden="1">
      <c r="B70" t="s">
        <v>94</v>
      </c>
      <c r="C70" s="129">
        <v>12000</v>
      </c>
    </row>
    <row r="71" spans="2:6" hidden="1">
      <c r="B71" t="s">
        <v>95</v>
      </c>
      <c r="C71" s="133">
        <v>-6496</v>
      </c>
    </row>
    <row r="72" spans="2:6" hidden="1">
      <c r="B72" s="194" t="s">
        <v>96</v>
      </c>
      <c r="C72" s="133">
        <v>-11596</v>
      </c>
      <c r="E72" s="183"/>
      <c r="F72" s="193"/>
    </row>
    <row r="73" spans="2:6" ht="15" hidden="1" thickBot="1">
      <c r="B73" s="194" t="s">
        <v>97</v>
      </c>
      <c r="C73" s="133">
        <f>19783.51-4975</f>
        <v>14808.509999999998</v>
      </c>
      <c r="E73" s="183"/>
      <c r="F73" s="193" t="s">
        <v>32</v>
      </c>
    </row>
    <row r="74" spans="2:6" ht="30.75" hidden="1" customHeight="1" thickBot="1">
      <c r="B74" s="233" t="s">
        <v>274</v>
      </c>
      <c r="C74" s="131">
        <f>E67-F67+SUM(C69:C73)</f>
        <v>106380.56999999999</v>
      </c>
      <c r="E74" s="131">
        <f>C74+F74</f>
        <v>306380.57</v>
      </c>
      <c r="F74" s="182">
        <v>200000</v>
      </c>
    </row>
    <row r="75" spans="2:6" ht="27.75" hidden="1" customHeight="1"/>
    <row r="76" spans="2:6" hidden="1">
      <c r="B76" t="s">
        <v>98</v>
      </c>
      <c r="C76" s="135">
        <v>-29950</v>
      </c>
    </row>
    <row r="77" spans="2:6" hidden="1">
      <c r="B77" t="s">
        <v>94</v>
      </c>
      <c r="C77" s="129">
        <v>6000</v>
      </c>
    </row>
    <row r="78" spans="2:6" hidden="1">
      <c r="B78" t="s">
        <v>99</v>
      </c>
      <c r="C78" s="133">
        <v>0</v>
      </c>
    </row>
    <row r="79" spans="2:6" ht="15" hidden="1" thickBot="1">
      <c r="B79" s="258" t="s">
        <v>268</v>
      </c>
      <c r="C79" s="133">
        <v>33048.75</v>
      </c>
      <c r="E79" s="183"/>
      <c r="F79" s="193" t="s">
        <v>32</v>
      </c>
    </row>
    <row r="80" spans="2:6" ht="30.75" hidden="1" customHeight="1" thickBot="1">
      <c r="B80" s="233" t="s">
        <v>275</v>
      </c>
      <c r="C80" s="131">
        <f>SUM(C74:C79)</f>
        <v>115479.31999999999</v>
      </c>
      <c r="E80" s="131">
        <f>C80+F80</f>
        <v>315479.32</v>
      </c>
      <c r="F80" s="182">
        <v>200000</v>
      </c>
    </row>
    <row r="81" spans="2:6" ht="27.75" hidden="1" customHeight="1"/>
    <row r="82" spans="2:6" hidden="1">
      <c r="B82" s="255" t="s">
        <v>271</v>
      </c>
      <c r="C82" s="135">
        <v>-32500</v>
      </c>
    </row>
    <row r="83" spans="2:6" s="258" customFormat="1" hidden="1">
      <c r="B83" s="255" t="s">
        <v>272</v>
      </c>
      <c r="C83" s="256">
        <v>-2300.44</v>
      </c>
    </row>
    <row r="84" spans="2:6" s="258" customFormat="1" hidden="1">
      <c r="B84" s="258" t="s">
        <v>276</v>
      </c>
      <c r="C84" s="256">
        <f>-12000+0</f>
        <v>-12000</v>
      </c>
    </row>
    <row r="85" spans="2:6" hidden="1">
      <c r="B85" s="258" t="s">
        <v>270</v>
      </c>
      <c r="C85" s="129">
        <v>0</v>
      </c>
    </row>
    <row r="86" spans="2:6" hidden="1">
      <c r="B86" s="194" t="s">
        <v>100</v>
      </c>
      <c r="C86" s="133">
        <v>0</v>
      </c>
    </row>
    <row r="87" spans="2:6" s="258" customFormat="1" hidden="1">
      <c r="B87" s="258" t="s">
        <v>294</v>
      </c>
      <c r="C87" s="243">
        <f>76561.19-68678.88</f>
        <v>7882.3099999999977</v>
      </c>
    </row>
    <row r="88" spans="2:6" ht="15" hidden="1" thickBot="1">
      <c r="B88" s="194"/>
      <c r="C88" s="133">
        <v>0</v>
      </c>
      <c r="E88" s="183"/>
      <c r="F88" s="193" t="s">
        <v>32</v>
      </c>
    </row>
    <row r="89" spans="2:6" ht="30.75" hidden="1" customHeight="1" thickBot="1">
      <c r="B89" s="233" t="s">
        <v>311</v>
      </c>
      <c r="C89" s="131">
        <f>SUM(C80:C88)</f>
        <v>76561.189999999988</v>
      </c>
      <c r="E89" s="131">
        <f>C89+F89</f>
        <v>300561.19</v>
      </c>
      <c r="F89" s="182">
        <v>224000</v>
      </c>
    </row>
    <row r="90" spans="2:6" ht="27.75" hidden="1" customHeight="1"/>
    <row r="91" spans="2:6" hidden="1">
      <c r="B91" s="258" t="s">
        <v>269</v>
      </c>
      <c r="C91" s="244">
        <v>-15000</v>
      </c>
      <c r="D91" s="258"/>
      <c r="E91" s="258"/>
      <c r="F91" s="258"/>
    </row>
    <row r="92" spans="2:6" s="258" customFormat="1" hidden="1">
      <c r="B92" s="249" t="s">
        <v>317</v>
      </c>
      <c r="C92" s="244">
        <v>-26950</v>
      </c>
    </row>
    <row r="93" spans="2:6" s="258" customFormat="1" hidden="1">
      <c r="C93" s="243">
        <v>0</v>
      </c>
    </row>
    <row r="94" spans="2:6" ht="15" hidden="1" thickBot="1">
      <c r="B94" s="258" t="s">
        <v>300</v>
      </c>
      <c r="C94" s="243">
        <v>35676.6</v>
      </c>
      <c r="D94" s="258"/>
      <c r="E94" s="247"/>
      <c r="F94" s="248" t="s">
        <v>32</v>
      </c>
    </row>
    <row r="95" spans="2:6" ht="30.75" hidden="1" customHeight="1" thickBot="1">
      <c r="B95" s="233" t="s">
        <v>312</v>
      </c>
      <c r="C95" s="242">
        <f>SUM(C89:C94)</f>
        <v>70287.789999999979</v>
      </c>
      <c r="D95" s="258"/>
      <c r="E95" s="242">
        <f>C95+F95</f>
        <v>294287.78999999998</v>
      </c>
      <c r="F95" s="246">
        <v>224000</v>
      </c>
    </row>
    <row r="96" spans="2:6" ht="27.75" customHeight="1"/>
    <row r="97" spans="2:6">
      <c r="B97" s="249" t="s">
        <v>310</v>
      </c>
      <c r="C97" s="244">
        <v>0</v>
      </c>
      <c r="D97" s="258"/>
      <c r="E97" s="258"/>
      <c r="F97" s="258"/>
    </row>
    <row r="98" spans="2:6">
      <c r="B98" s="249" t="s">
        <v>314</v>
      </c>
      <c r="C98" s="243">
        <v>-7356.78</v>
      </c>
      <c r="D98" s="258"/>
      <c r="E98" s="258"/>
      <c r="F98" s="258"/>
    </row>
    <row r="99" spans="2:6" ht="15" thickBot="1">
      <c r="B99" s="249"/>
      <c r="C99" s="243">
        <v>0</v>
      </c>
      <c r="D99" s="258"/>
      <c r="E99" s="247"/>
      <c r="F99" s="248" t="s">
        <v>32</v>
      </c>
    </row>
    <row r="100" spans="2:6" ht="30" customHeight="1" thickBot="1">
      <c r="B100" s="233" t="s">
        <v>313</v>
      </c>
      <c r="C100" s="242">
        <f>SUM(C95:C99)</f>
        <v>62931.00999999998</v>
      </c>
      <c r="D100" s="258"/>
      <c r="E100" s="242">
        <f>C100+F100</f>
        <v>286931.01</v>
      </c>
      <c r="F100" s="246">
        <v>224000</v>
      </c>
    </row>
    <row r="101" spans="2:6" ht="27.75" customHeight="1"/>
    <row r="102" spans="2:6">
      <c r="B102" s="249" t="s">
        <v>315</v>
      </c>
      <c r="C102" s="244">
        <f>'2019 Recommended Budget'!F46</f>
        <v>0</v>
      </c>
      <c r="D102" s="258"/>
      <c r="E102" s="258"/>
      <c r="F102" s="258"/>
    </row>
    <row r="103" spans="2:6">
      <c r="B103" s="249" t="s">
        <v>352</v>
      </c>
      <c r="C103" s="244">
        <v>0</v>
      </c>
      <c r="D103" s="258"/>
      <c r="E103" s="258"/>
      <c r="F103" s="309">
        <v>35990</v>
      </c>
    </row>
    <row r="104" spans="2:6">
      <c r="B104" s="249" t="s">
        <v>316</v>
      </c>
      <c r="C104" s="243">
        <v>25924.240000000002</v>
      </c>
      <c r="D104" s="258"/>
      <c r="E104" s="258"/>
      <c r="F104" s="258"/>
    </row>
    <row r="105" spans="2:6" ht="15" thickBot="1">
      <c r="B105" s="249"/>
      <c r="C105" s="243">
        <v>0</v>
      </c>
      <c r="D105" s="258"/>
      <c r="E105" s="247"/>
      <c r="F105" s="248" t="s">
        <v>32</v>
      </c>
    </row>
    <row r="106" spans="2:6" ht="30.75" customHeight="1" thickBot="1">
      <c r="B106" s="233" t="s">
        <v>341</v>
      </c>
      <c r="C106" s="242">
        <f>SUM(C100:C105)</f>
        <v>88855.249999999985</v>
      </c>
      <c r="D106" s="258"/>
      <c r="E106" s="242">
        <f>C106+F106</f>
        <v>348845.25</v>
      </c>
      <c r="F106" s="246">
        <f>224000+35990</f>
        <v>259990</v>
      </c>
    </row>
    <row r="107" spans="2:6" ht="27" customHeight="1"/>
    <row r="108" spans="2:6">
      <c r="B108" s="249" t="s">
        <v>318</v>
      </c>
      <c r="C108" s="244">
        <v>0</v>
      </c>
      <c r="D108" s="258"/>
      <c r="E108" s="258"/>
      <c r="F108" s="258"/>
    </row>
    <row r="109" spans="2:6">
      <c r="B109" s="249" t="s">
        <v>347</v>
      </c>
      <c r="C109" s="244">
        <v>0</v>
      </c>
      <c r="D109" s="258"/>
      <c r="E109" s="258"/>
      <c r="F109" s="258"/>
    </row>
    <row r="110" spans="2:6">
      <c r="B110" s="249" t="s">
        <v>319</v>
      </c>
      <c r="C110" s="243">
        <v>0</v>
      </c>
      <c r="D110" s="258"/>
      <c r="E110" s="258"/>
      <c r="F110" s="258"/>
    </row>
    <row r="111" spans="2:6" ht="15" thickBot="1">
      <c r="B111" s="249"/>
      <c r="C111" s="243">
        <v>0</v>
      </c>
      <c r="D111" s="258"/>
      <c r="E111" s="247"/>
      <c r="F111" s="248" t="s">
        <v>32</v>
      </c>
    </row>
    <row r="112" spans="2:6" ht="30.75" customHeight="1" thickBot="1">
      <c r="B112" s="233" t="s">
        <v>321</v>
      </c>
      <c r="C112" s="242">
        <f>SUM(C106:C111)</f>
        <v>88855.249999999985</v>
      </c>
      <c r="D112" s="258"/>
      <c r="E112" s="242">
        <f>C112+F112</f>
        <v>312855.25</v>
      </c>
      <c r="F112" s="246">
        <v>224000</v>
      </c>
    </row>
    <row r="113" spans="2:6" ht="27" customHeight="1"/>
    <row r="114" spans="2:6">
      <c r="B114" s="249" t="s">
        <v>348</v>
      </c>
      <c r="C114" s="244">
        <f>'2019 Recommended Budget'!H46</f>
        <v>-20500</v>
      </c>
      <c r="D114" s="258"/>
      <c r="E114" s="258"/>
      <c r="F114" s="258"/>
    </row>
    <row r="115" spans="2:6">
      <c r="B115" s="249" t="s">
        <v>349</v>
      </c>
      <c r="C115" s="244">
        <v>0</v>
      </c>
      <c r="D115" s="258"/>
      <c r="E115" s="258"/>
      <c r="F115" s="258"/>
    </row>
    <row r="116" spans="2:6">
      <c r="B116" s="249" t="s">
        <v>350</v>
      </c>
      <c r="C116" s="243">
        <v>0</v>
      </c>
      <c r="D116" s="258"/>
      <c r="E116" s="258"/>
      <c r="F116" s="258"/>
    </row>
    <row r="117" spans="2:6" ht="15" thickBot="1">
      <c r="B117" s="249"/>
      <c r="C117" s="243">
        <v>0</v>
      </c>
      <c r="D117" s="258"/>
      <c r="E117" s="247"/>
      <c r="F117" s="248" t="s">
        <v>32</v>
      </c>
    </row>
    <row r="118" spans="2:6" ht="30.75" customHeight="1" thickBot="1">
      <c r="B118" s="233" t="s">
        <v>346</v>
      </c>
      <c r="C118" s="242">
        <f>SUM(C112:C117)</f>
        <v>68355.249999999985</v>
      </c>
      <c r="D118" s="258"/>
      <c r="E118" s="242">
        <f>C118+F118</f>
        <v>292355.25</v>
      </c>
      <c r="F118" s="246">
        <v>224000</v>
      </c>
    </row>
  </sheetData>
  <phoneticPr fontId="0" type="noConversion"/>
  <printOptions horizontalCentered="1"/>
  <pageMargins left="0.36" right="0.35" top="0.73" bottom="0.6" header="0.47" footer="0.46"/>
  <pageSetup scale="92" orientation="portrait" horizontalDpi="4294967292" verticalDpi="4294967292" r:id="rId1"/>
  <headerFooter>
    <oddHeader>&amp;C2019 Draft MORE Budget</oddHeader>
    <oddFooter>&amp;A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K94"/>
  <sheetViews>
    <sheetView zoomScaleNormal="100" workbookViewId="0"/>
  </sheetViews>
  <sheetFormatPr defaultColWidth="8.75" defaultRowHeight="14.25"/>
  <cols>
    <col min="1" max="1" width="3.25" customWidth="1"/>
    <col min="2" max="2" width="1.375" customWidth="1"/>
    <col min="3" max="3" width="28.75" bestFit="1" customWidth="1"/>
    <col min="4" max="4" width="12.625" customWidth="1"/>
    <col min="5" max="5" width="18.375" bestFit="1" customWidth="1"/>
    <col min="6" max="6" width="10.375" customWidth="1"/>
    <col min="7" max="7" width="10.875" customWidth="1"/>
    <col min="8" max="8" width="10.875" hidden="1" customWidth="1"/>
    <col min="9" max="10" width="10.625" customWidth="1"/>
  </cols>
  <sheetData>
    <row r="1" spans="1:11" ht="15">
      <c r="A1" s="1" t="s">
        <v>326</v>
      </c>
    </row>
    <row r="2" spans="1:11">
      <c r="A2" s="62" t="s">
        <v>361</v>
      </c>
    </row>
    <row r="3" spans="1:11" ht="15" thickBot="1">
      <c r="A3" s="64" t="s">
        <v>362</v>
      </c>
    </row>
    <row r="4" spans="1:11" ht="15.75" thickBot="1">
      <c r="C4" s="65" t="s">
        <v>327</v>
      </c>
      <c r="D4" s="79">
        <f>'2019 Recommended Budget'!H48</f>
        <v>727080</v>
      </c>
      <c r="E4" s="81"/>
      <c r="F4" s="82"/>
    </row>
    <row r="5" spans="1:11" ht="15.75" thickBot="1">
      <c r="C5" s="65" t="s">
        <v>328</v>
      </c>
      <c r="D5" s="79">
        <f>'MORE Approved Formula w''17 Data'!D5</f>
        <v>58717</v>
      </c>
      <c r="E5" s="81"/>
      <c r="F5" s="82"/>
    </row>
    <row r="6" spans="1:11" ht="15.75" thickBot="1">
      <c r="C6" s="65" t="s">
        <v>329</v>
      </c>
      <c r="D6" s="79">
        <f>D4-D5</f>
        <v>668363</v>
      </c>
      <c r="E6" s="81"/>
      <c r="F6" s="82"/>
      <c r="I6" s="312" t="s">
        <v>101</v>
      </c>
      <c r="J6" s="312"/>
    </row>
    <row r="7" spans="1:11" ht="15" thickBot="1">
      <c r="B7" s="128" t="s">
        <v>330</v>
      </c>
      <c r="C7" s="128"/>
      <c r="D7" s="67"/>
      <c r="E7" s="285">
        <f>'MORE Approved Formula w''17 Data'!J2</f>
        <v>540</v>
      </c>
      <c r="G7" s="68"/>
      <c r="I7" s="173" t="s">
        <v>102</v>
      </c>
      <c r="J7" s="173" t="s">
        <v>103</v>
      </c>
    </row>
    <row r="8" spans="1:11" ht="26.25" customHeight="1" thickBot="1">
      <c r="A8" s="128" t="s">
        <v>104</v>
      </c>
      <c r="C8" s="66"/>
      <c r="D8" s="67"/>
      <c r="E8" s="68"/>
      <c r="F8" s="68"/>
      <c r="I8" s="172">
        <f>'MORE Approved Formula w''17 Data'!F5</f>
        <v>176600</v>
      </c>
      <c r="J8" s="172">
        <f>D6-I8</f>
        <v>491763</v>
      </c>
    </row>
    <row r="9" spans="1:11" ht="82.5" customHeight="1" thickBot="1">
      <c r="A9" s="63" t="s">
        <v>105</v>
      </c>
      <c r="B9" s="78"/>
      <c r="C9" s="195" t="s">
        <v>106</v>
      </c>
      <c r="D9" s="184" t="s">
        <v>290</v>
      </c>
      <c r="E9" s="196" t="s">
        <v>291</v>
      </c>
      <c r="F9" s="197" t="s">
        <v>301</v>
      </c>
      <c r="G9" s="179" t="s">
        <v>343</v>
      </c>
      <c r="H9" s="196" t="s">
        <v>107</v>
      </c>
      <c r="I9" s="184" t="s">
        <v>344</v>
      </c>
      <c r="J9" s="185" t="s">
        <v>345</v>
      </c>
    </row>
    <row r="10" spans="1:11" ht="16.350000000000001" customHeight="1">
      <c r="A10" s="151">
        <v>1</v>
      </c>
      <c r="B10" s="57"/>
      <c r="C10" s="198" t="s">
        <v>108</v>
      </c>
      <c r="D10" s="199">
        <f>'MORE Approved Formula w''17 Data'!H9</f>
        <v>3.4319156101311782E-2</v>
      </c>
      <c r="E10" s="200">
        <f>($D$6*D10)</f>
        <v>22937.654129341048</v>
      </c>
      <c r="F10" s="201">
        <f>IF(AND((E10-$E$7)&lt;800,(E10-$E$7)&lt;1000),E10-800,$E$7)</f>
        <v>540</v>
      </c>
      <c r="G10" s="202">
        <f>E10-F10</f>
        <v>22397.654129341048</v>
      </c>
      <c r="H10" s="203">
        <f>ROUND(D10*1000,0)</f>
        <v>34</v>
      </c>
      <c r="I10" s="204">
        <f>ROUND($I$8*D10,0)</f>
        <v>6061</v>
      </c>
      <c r="J10" s="204">
        <f>G10-I10</f>
        <v>16336.654129341048</v>
      </c>
      <c r="K10" t="s">
        <v>267</v>
      </c>
    </row>
    <row r="11" spans="1:11" ht="16.350000000000001" customHeight="1">
      <c r="A11" s="152">
        <v>2</v>
      </c>
      <c r="B11" s="56"/>
      <c r="C11" s="205" t="s">
        <v>109</v>
      </c>
      <c r="D11" s="199">
        <f>'MORE Approved Formula w''17 Data'!H12</f>
        <v>1.6203221927375108E-2</v>
      </c>
      <c r="E11" s="72">
        <f t="shared" ref="E11:E60" si="0">($D$6*D11)</f>
        <v>10829.634017046208</v>
      </c>
      <c r="F11" s="69">
        <f>IF(AND((E11-$E$7)&lt;800,(E11-$E$7)&lt;1000),E11-800,$E$7)</f>
        <v>540</v>
      </c>
      <c r="G11" s="206">
        <f t="shared" ref="G11:G60" si="1">E11-F11</f>
        <v>10289.634017046208</v>
      </c>
      <c r="H11" s="174">
        <f t="shared" ref="H11:H56" si="2">ROUND(D11*1000,0)</f>
        <v>16</v>
      </c>
      <c r="I11" s="72">
        <f>ROUND($I$8*D11,0)</f>
        <v>2861</v>
      </c>
      <c r="J11" s="72">
        <f>G11-I11</f>
        <v>7428.6340170462081</v>
      </c>
      <c r="K11" t="s">
        <v>267</v>
      </c>
    </row>
    <row r="12" spans="1:11" ht="16.350000000000001" customHeight="1">
      <c r="A12" s="152">
        <v>3</v>
      </c>
      <c r="B12" s="56"/>
      <c r="C12" s="205" t="s">
        <v>110</v>
      </c>
      <c r="D12" s="199">
        <f>'MORE Approved Formula w''17 Data'!H13</f>
        <v>7.1186065872313855E-3</v>
      </c>
      <c r="E12" s="72">
        <f t="shared" si="0"/>
        <v>4757.8132544617301</v>
      </c>
      <c r="F12" s="69">
        <f t="shared" ref="F12:F60" si="3">IF(AND((E12-$E$7)&lt;800,(E12-$E$7)&lt;1000),E12-800,$E$7)</f>
        <v>540</v>
      </c>
      <c r="G12" s="206">
        <f t="shared" si="1"/>
        <v>4217.8132544617301</v>
      </c>
      <c r="H12" s="174">
        <f t="shared" si="2"/>
        <v>7</v>
      </c>
      <c r="I12" s="72">
        <f t="shared" ref="I12:I60" si="4">ROUND($I$8*D12,0)</f>
        <v>1257</v>
      </c>
      <c r="J12" s="72">
        <f t="shared" ref="J12:J60" si="5">G12-I12</f>
        <v>2960.8132544617301</v>
      </c>
      <c r="K12" t="s">
        <v>267</v>
      </c>
    </row>
    <row r="13" spans="1:11" ht="16.350000000000001" customHeight="1">
      <c r="A13" s="152">
        <v>4</v>
      </c>
      <c r="B13" s="56"/>
      <c r="C13" s="205" t="s">
        <v>111</v>
      </c>
      <c r="D13" s="199"/>
      <c r="E13" s="72">
        <f t="shared" si="0"/>
        <v>0</v>
      </c>
      <c r="F13" s="69">
        <v>0</v>
      </c>
      <c r="G13" s="206">
        <f t="shared" si="1"/>
        <v>0</v>
      </c>
      <c r="H13" s="174">
        <f t="shared" si="2"/>
        <v>0</v>
      </c>
      <c r="I13" s="72">
        <f t="shared" si="4"/>
        <v>0</v>
      </c>
      <c r="J13" s="72">
        <f t="shared" si="5"/>
        <v>0</v>
      </c>
    </row>
    <row r="14" spans="1:11" ht="16.350000000000001" customHeight="1">
      <c r="A14" s="152">
        <v>5</v>
      </c>
      <c r="B14" s="56"/>
      <c r="C14" s="205" t="s">
        <v>112</v>
      </c>
      <c r="D14" s="199">
        <f>'MORE Approved Formula w''17 Data'!H26</f>
        <v>3.9441221360806151E-3</v>
      </c>
      <c r="E14" s="72">
        <f t="shared" si="0"/>
        <v>2636.1053032372483</v>
      </c>
      <c r="F14" s="69">
        <f t="shared" si="3"/>
        <v>540</v>
      </c>
      <c r="G14" s="206">
        <f t="shared" si="1"/>
        <v>2096.1053032372483</v>
      </c>
      <c r="H14" s="174">
        <f t="shared" si="2"/>
        <v>4</v>
      </c>
      <c r="I14" s="72">
        <f t="shared" si="4"/>
        <v>697</v>
      </c>
      <c r="J14" s="72">
        <f t="shared" si="5"/>
        <v>1399.1053032372483</v>
      </c>
    </row>
    <row r="15" spans="1:11" ht="16.350000000000001" customHeight="1">
      <c r="A15" s="152">
        <v>6</v>
      </c>
      <c r="B15" s="56"/>
      <c r="C15" s="205" t="s">
        <v>113</v>
      </c>
      <c r="D15" s="199">
        <f>'MORE Approved Formula w''17 Data'!H27</f>
        <v>4.8411294378826507E-3</v>
      </c>
      <c r="E15" s="72">
        <f t="shared" si="0"/>
        <v>3235.6317944915622</v>
      </c>
      <c r="F15" s="69">
        <f t="shared" si="3"/>
        <v>540</v>
      </c>
      <c r="G15" s="206">
        <f t="shared" si="1"/>
        <v>2695.6317944915622</v>
      </c>
      <c r="H15" s="174">
        <f t="shared" si="2"/>
        <v>5</v>
      </c>
      <c r="I15" s="72">
        <f t="shared" si="4"/>
        <v>855</v>
      </c>
      <c r="J15" s="72">
        <f t="shared" si="5"/>
        <v>1840.6317944915622</v>
      </c>
    </row>
    <row r="16" spans="1:11" ht="16.350000000000001" customHeight="1">
      <c r="A16" s="152">
        <v>7</v>
      </c>
      <c r="B16" s="56"/>
      <c r="C16" s="205" t="s">
        <v>114</v>
      </c>
      <c r="D16" s="199">
        <f>'MORE Approved Formula w''17 Data'!H29</f>
        <v>1.7459574148267629E-2</v>
      </c>
      <c r="E16" s="72">
        <f t="shared" si="0"/>
        <v>11669.333356458597</v>
      </c>
      <c r="F16" s="69">
        <f t="shared" si="3"/>
        <v>540</v>
      </c>
      <c r="G16" s="206">
        <f t="shared" si="1"/>
        <v>11129.333356458597</v>
      </c>
      <c r="H16" s="174">
        <f t="shared" si="2"/>
        <v>17</v>
      </c>
      <c r="I16" s="72">
        <f t="shared" si="4"/>
        <v>3083</v>
      </c>
      <c r="J16" s="72">
        <f t="shared" si="5"/>
        <v>8046.3333564585973</v>
      </c>
      <c r="K16" t="s">
        <v>267</v>
      </c>
    </row>
    <row r="17" spans="1:11" ht="16.350000000000001" customHeight="1">
      <c r="A17" s="152">
        <v>8</v>
      </c>
      <c r="B17" s="56"/>
      <c r="C17" s="205" t="s">
        <v>115</v>
      </c>
      <c r="D17" s="199">
        <f>'MORE Approved Formula w''17 Data'!H33</f>
        <v>5.9820360060356941E-3</v>
      </c>
      <c r="E17" s="72">
        <f t="shared" si="0"/>
        <v>3998.1715311020348</v>
      </c>
      <c r="F17" s="69">
        <f t="shared" si="3"/>
        <v>540</v>
      </c>
      <c r="G17" s="206">
        <f t="shared" si="1"/>
        <v>3458.1715311020348</v>
      </c>
      <c r="H17" s="174">
        <f t="shared" si="2"/>
        <v>6</v>
      </c>
      <c r="I17" s="72">
        <f t="shared" si="4"/>
        <v>1056</v>
      </c>
      <c r="J17" s="72">
        <f t="shared" si="5"/>
        <v>2402.1715311020348</v>
      </c>
      <c r="K17" t="s">
        <v>267</v>
      </c>
    </row>
    <row r="18" spans="1:11" ht="16.350000000000001" customHeight="1">
      <c r="A18" s="152">
        <v>9</v>
      </c>
      <c r="B18" s="56"/>
      <c r="C18" s="205" t="s">
        <v>116</v>
      </c>
      <c r="D18" s="199">
        <f>'MORE Approved Formula w''17 Data'!H35</f>
        <v>5.6631602985471555E-2</v>
      </c>
      <c r="E18" s="72">
        <f t="shared" si="0"/>
        <v>37850.468066178728</v>
      </c>
      <c r="F18" s="69">
        <f t="shared" si="3"/>
        <v>540</v>
      </c>
      <c r="G18" s="206">
        <f t="shared" si="1"/>
        <v>37310.468066178728</v>
      </c>
      <c r="H18" s="174">
        <f t="shared" si="2"/>
        <v>57</v>
      </c>
      <c r="I18" s="72">
        <f t="shared" si="4"/>
        <v>10001</v>
      </c>
      <c r="J18" s="72">
        <f t="shared" si="5"/>
        <v>27309.468066178728</v>
      </c>
      <c r="K18" t="s">
        <v>267</v>
      </c>
    </row>
    <row r="19" spans="1:11" ht="16.350000000000001" customHeight="1">
      <c r="A19" s="152">
        <v>10</v>
      </c>
      <c r="B19" s="56"/>
      <c r="C19" s="205" t="s">
        <v>117</v>
      </c>
      <c r="D19" s="199">
        <f>'MORE Approved Formula w''17 Data'!H28</f>
        <v>0.18441386128310527</v>
      </c>
      <c r="E19" s="72">
        <f t="shared" si="0"/>
        <v>123255.40156876009</v>
      </c>
      <c r="F19" s="69">
        <f t="shared" si="3"/>
        <v>540</v>
      </c>
      <c r="G19" s="206">
        <f t="shared" si="1"/>
        <v>122715.40156876009</v>
      </c>
      <c r="H19" s="174">
        <f t="shared" si="2"/>
        <v>184</v>
      </c>
      <c r="I19" s="72">
        <f t="shared" si="4"/>
        <v>32567</v>
      </c>
      <c r="J19" s="72">
        <f t="shared" si="5"/>
        <v>90148.401568760091</v>
      </c>
      <c r="K19" t="s">
        <v>267</v>
      </c>
    </row>
    <row r="20" spans="1:11" ht="16.350000000000001" customHeight="1">
      <c r="A20" s="152">
        <v>11</v>
      </c>
      <c r="B20" s="56"/>
      <c r="C20" s="205" t="s">
        <v>118</v>
      </c>
      <c r="D20" s="199">
        <f>'MORE Approved Formula w''17 Data'!H37</f>
        <v>7.5617805874973265E-3</v>
      </c>
      <c r="E20" s="72">
        <f t="shared" si="0"/>
        <v>5054.0143588014753</v>
      </c>
      <c r="F20" s="69">
        <f t="shared" si="3"/>
        <v>540</v>
      </c>
      <c r="G20" s="206">
        <f t="shared" si="1"/>
        <v>4514.0143588014753</v>
      </c>
      <c r="H20" s="174">
        <f t="shared" si="2"/>
        <v>8</v>
      </c>
      <c r="I20" s="72">
        <f t="shared" si="4"/>
        <v>1335</v>
      </c>
      <c r="J20" s="72">
        <f t="shared" si="5"/>
        <v>3179.0143588014753</v>
      </c>
    </row>
    <row r="21" spans="1:11" ht="16.350000000000001" customHeight="1">
      <c r="A21" s="152">
        <v>12</v>
      </c>
      <c r="B21" s="56"/>
      <c r="C21" s="205" t="s">
        <v>119</v>
      </c>
      <c r="D21" s="199">
        <f>'MORE Approved Formula w''17 Data'!H39</f>
        <v>9.2701594486937124E-3</v>
      </c>
      <c r="E21" s="72">
        <f t="shared" si="0"/>
        <v>6195.8315796072757</v>
      </c>
      <c r="F21" s="69">
        <f t="shared" si="3"/>
        <v>540</v>
      </c>
      <c r="G21" s="206">
        <f t="shared" si="1"/>
        <v>5655.8315796072757</v>
      </c>
      <c r="H21" s="174">
        <f t="shared" si="2"/>
        <v>9</v>
      </c>
      <c r="I21" s="72">
        <f t="shared" si="4"/>
        <v>1637</v>
      </c>
      <c r="J21" s="72">
        <f t="shared" si="5"/>
        <v>4018.8315796072757</v>
      </c>
    </row>
    <row r="22" spans="1:11" ht="16.350000000000001" customHeight="1">
      <c r="A22" s="152">
        <v>13</v>
      </c>
      <c r="B22" s="56"/>
      <c r="C22" s="205" t="s">
        <v>120</v>
      </c>
      <c r="D22" s="199">
        <f>'MORE Approved Formula w''17 Data'!H40</f>
        <v>4.5616931450936864E-2</v>
      </c>
      <c r="E22" s="72">
        <f t="shared" si="0"/>
        <v>30488.669155342515</v>
      </c>
      <c r="F22" s="69">
        <f t="shared" si="3"/>
        <v>540</v>
      </c>
      <c r="G22" s="206">
        <f t="shared" si="1"/>
        <v>29948.669155342515</v>
      </c>
      <c r="H22" s="174">
        <f t="shared" si="2"/>
        <v>46</v>
      </c>
      <c r="I22" s="72">
        <f t="shared" si="4"/>
        <v>8056</v>
      </c>
      <c r="J22" s="72">
        <f t="shared" si="5"/>
        <v>21892.669155342515</v>
      </c>
      <c r="K22" t="s">
        <v>267</v>
      </c>
    </row>
    <row r="23" spans="1:11" ht="16.350000000000001" customHeight="1">
      <c r="A23" s="152">
        <v>14</v>
      </c>
      <c r="B23" s="56"/>
      <c r="C23" s="205" t="s">
        <v>121</v>
      </c>
      <c r="D23" s="199">
        <f>'MORE Approved Formula w''17 Data'!H42</f>
        <v>1.6127342155621463E-2</v>
      </c>
      <c r="E23" s="72">
        <f t="shared" si="0"/>
        <v>10778.918785157628</v>
      </c>
      <c r="F23" s="69">
        <f t="shared" si="3"/>
        <v>540</v>
      </c>
      <c r="G23" s="206">
        <f t="shared" si="1"/>
        <v>10238.918785157628</v>
      </c>
      <c r="H23" s="174">
        <f t="shared" si="2"/>
        <v>16</v>
      </c>
      <c r="I23" s="72">
        <f t="shared" si="4"/>
        <v>2848</v>
      </c>
      <c r="J23" s="72">
        <f t="shared" si="5"/>
        <v>7390.918785157628</v>
      </c>
    </row>
    <row r="24" spans="1:11" ht="16.350000000000001" customHeight="1">
      <c r="A24" s="152">
        <v>15</v>
      </c>
      <c r="B24" s="56"/>
      <c r="C24" s="205" t="s">
        <v>122</v>
      </c>
      <c r="D24" s="199">
        <f>'MORE Approved Formula w''17 Data'!H43</f>
        <v>1.7918646767377189E-2</v>
      </c>
      <c r="E24" s="72">
        <f t="shared" si="0"/>
        <v>11976.160509384521</v>
      </c>
      <c r="F24" s="69">
        <f t="shared" si="3"/>
        <v>540</v>
      </c>
      <c r="G24" s="206">
        <f t="shared" si="1"/>
        <v>11436.160509384521</v>
      </c>
      <c r="H24" s="174">
        <f t="shared" si="2"/>
        <v>18</v>
      </c>
      <c r="I24" s="72">
        <f t="shared" si="4"/>
        <v>3164</v>
      </c>
      <c r="J24" s="72">
        <f t="shared" si="5"/>
        <v>8272.160509384521</v>
      </c>
    </row>
    <row r="25" spans="1:11" ht="16.350000000000001" customHeight="1">
      <c r="A25" s="152">
        <v>16</v>
      </c>
      <c r="B25" s="56"/>
      <c r="C25" s="205" t="s">
        <v>123</v>
      </c>
      <c r="D25" s="199"/>
      <c r="E25" s="72">
        <f t="shared" si="0"/>
        <v>0</v>
      </c>
      <c r="F25" s="69">
        <v>0</v>
      </c>
      <c r="G25" s="206">
        <f t="shared" si="1"/>
        <v>0</v>
      </c>
      <c r="H25" s="174">
        <f t="shared" si="2"/>
        <v>0</v>
      </c>
      <c r="I25" s="72">
        <f t="shared" si="4"/>
        <v>0</v>
      </c>
      <c r="J25" s="72">
        <f t="shared" si="5"/>
        <v>0</v>
      </c>
    </row>
    <row r="26" spans="1:11" ht="16.350000000000001" customHeight="1">
      <c r="A26" s="152">
        <v>17</v>
      </c>
      <c r="B26" s="56"/>
      <c r="C26" s="205" t="s">
        <v>124</v>
      </c>
      <c r="D26" s="199">
        <f>'MORE Approved Formula w''17 Data'!H47</f>
        <v>1.4934042411733758E-2</v>
      </c>
      <c r="E26" s="72">
        <f t="shared" si="0"/>
        <v>9981.36138843361</v>
      </c>
      <c r="F26" s="69">
        <f t="shared" si="3"/>
        <v>540</v>
      </c>
      <c r="G26" s="206">
        <f t="shared" si="1"/>
        <v>9441.36138843361</v>
      </c>
      <c r="H26" s="174">
        <f t="shared" si="2"/>
        <v>15</v>
      </c>
      <c r="I26" s="72">
        <f t="shared" si="4"/>
        <v>2637</v>
      </c>
      <c r="J26" s="72">
        <f t="shared" si="5"/>
        <v>6804.36138843361</v>
      </c>
      <c r="K26" t="s">
        <v>267</v>
      </c>
    </row>
    <row r="27" spans="1:11" ht="16.350000000000001" customHeight="1">
      <c r="A27" s="152">
        <v>18</v>
      </c>
      <c r="B27" s="56"/>
      <c r="C27" s="205" t="s">
        <v>125</v>
      </c>
      <c r="D27" s="199">
        <f>'MORE Approved Formula w''17 Data'!H49</f>
        <v>7.2727509235652216E-2</v>
      </c>
      <c r="E27" s="72">
        <f t="shared" si="0"/>
        <v>48608.376255268224</v>
      </c>
      <c r="F27" s="69">
        <f t="shared" si="3"/>
        <v>540</v>
      </c>
      <c r="G27" s="206">
        <f t="shared" si="1"/>
        <v>48068.376255268224</v>
      </c>
      <c r="H27" s="174">
        <f t="shared" si="2"/>
        <v>73</v>
      </c>
      <c r="I27" s="72">
        <f t="shared" si="4"/>
        <v>12844</v>
      </c>
      <c r="J27" s="72">
        <f t="shared" si="5"/>
        <v>35224.376255268224</v>
      </c>
      <c r="K27" t="s">
        <v>267</v>
      </c>
    </row>
    <row r="28" spans="1:11" ht="16.350000000000001" customHeight="1">
      <c r="A28" s="152">
        <v>19</v>
      </c>
      <c r="B28" s="56"/>
      <c r="C28" s="205" t="s">
        <v>126</v>
      </c>
      <c r="D28" s="199">
        <f>'MORE Approved Formula w''17 Data'!H52</f>
        <v>1.2195505315920009E-2</v>
      </c>
      <c r="E28" s="72">
        <f t="shared" si="0"/>
        <v>8151.0245194642457</v>
      </c>
      <c r="F28" s="69">
        <f t="shared" si="3"/>
        <v>540</v>
      </c>
      <c r="G28" s="206">
        <f t="shared" si="1"/>
        <v>7611.0245194642457</v>
      </c>
      <c r="H28" s="174">
        <f t="shared" si="2"/>
        <v>12</v>
      </c>
      <c r="I28" s="72">
        <f t="shared" si="4"/>
        <v>2154</v>
      </c>
      <c r="J28" s="72">
        <f t="shared" si="5"/>
        <v>5457.0245194642457</v>
      </c>
      <c r="K28" s="249" t="s">
        <v>267</v>
      </c>
    </row>
    <row r="29" spans="1:11" ht="16.350000000000001" customHeight="1">
      <c r="A29" s="152">
        <v>20</v>
      </c>
      <c r="B29" s="56"/>
      <c r="C29" s="205" t="s">
        <v>127</v>
      </c>
      <c r="D29" s="199">
        <f>'MORE Approved Formula w''17 Data'!H57</f>
        <v>7.2663914760277733E-3</v>
      </c>
      <c r="E29" s="72">
        <f t="shared" si="0"/>
        <v>4856.5872060923502</v>
      </c>
      <c r="F29" s="69">
        <f t="shared" si="3"/>
        <v>540</v>
      </c>
      <c r="G29" s="206">
        <f t="shared" si="1"/>
        <v>4316.5872060923502</v>
      </c>
      <c r="H29" s="174">
        <f t="shared" si="2"/>
        <v>7</v>
      </c>
      <c r="I29" s="72">
        <f t="shared" si="4"/>
        <v>1283</v>
      </c>
      <c r="J29" s="72">
        <f t="shared" si="5"/>
        <v>3033.5872060923502</v>
      </c>
    </row>
    <row r="30" spans="1:11" ht="16.350000000000001" customHeight="1">
      <c r="A30" s="152">
        <v>21</v>
      </c>
      <c r="B30" s="56"/>
      <c r="C30" s="205" t="s">
        <v>128</v>
      </c>
      <c r="D30" s="199">
        <f>'MORE Approved Formula w''17 Data'!H16</f>
        <v>7.7251027628908895E-3</v>
      </c>
      <c r="E30" s="72">
        <f t="shared" si="0"/>
        <v>5163.1728579140436</v>
      </c>
      <c r="F30" s="69">
        <f t="shared" si="3"/>
        <v>540</v>
      </c>
      <c r="G30" s="206">
        <f t="shared" si="1"/>
        <v>4623.1728579140436</v>
      </c>
      <c r="H30" s="174">
        <f t="shared" si="2"/>
        <v>8</v>
      </c>
      <c r="I30" s="72">
        <f t="shared" si="4"/>
        <v>1364</v>
      </c>
      <c r="J30" s="72">
        <f t="shared" si="5"/>
        <v>3259.1728579140436</v>
      </c>
    </row>
    <row r="31" spans="1:11" ht="16.350000000000001" customHeight="1">
      <c r="A31" s="152">
        <v>22</v>
      </c>
      <c r="B31" s="56"/>
      <c r="C31" s="205" t="s">
        <v>129</v>
      </c>
      <c r="D31" s="199">
        <f>'MORE Approved Formula w''17 Data'!H24</f>
        <v>6.9467931040463433E-3</v>
      </c>
      <c r="E31" s="72">
        <f t="shared" si="0"/>
        <v>4642.9794793997262</v>
      </c>
      <c r="F31" s="69">
        <f t="shared" si="3"/>
        <v>540</v>
      </c>
      <c r="G31" s="206">
        <f t="shared" si="1"/>
        <v>4102.9794793997262</v>
      </c>
      <c r="H31" s="174">
        <f t="shared" si="2"/>
        <v>7</v>
      </c>
      <c r="I31" s="72">
        <f t="shared" si="4"/>
        <v>1227</v>
      </c>
      <c r="J31" s="72">
        <f t="shared" si="5"/>
        <v>2875.9794793997262</v>
      </c>
    </row>
    <row r="32" spans="1:11" ht="16.350000000000001" customHeight="1">
      <c r="A32" s="152">
        <v>23</v>
      </c>
      <c r="B32" s="56"/>
      <c r="C32" s="205" t="s">
        <v>130</v>
      </c>
      <c r="D32" s="199">
        <f>'MORE Approved Formula w''17 Data'!H23</f>
        <v>9.4007810557839178E-3</v>
      </c>
      <c r="E32" s="72">
        <f t="shared" si="0"/>
        <v>6283.1342287869065</v>
      </c>
      <c r="F32" s="69">
        <f t="shared" si="3"/>
        <v>540</v>
      </c>
      <c r="G32" s="206">
        <f t="shared" si="1"/>
        <v>5743.1342287869065</v>
      </c>
      <c r="H32" s="174">
        <f t="shared" si="2"/>
        <v>9</v>
      </c>
      <c r="I32" s="72">
        <f t="shared" si="4"/>
        <v>1660</v>
      </c>
      <c r="J32" s="72">
        <f t="shared" si="5"/>
        <v>4083.1342287869065</v>
      </c>
    </row>
    <row r="33" spans="1:11" ht="16.350000000000001" customHeight="1">
      <c r="A33" s="152">
        <v>24</v>
      </c>
      <c r="B33" s="56"/>
      <c r="C33" s="205" t="s">
        <v>131</v>
      </c>
      <c r="D33" s="199">
        <f>'MORE Approved Formula w''17 Data'!H20</f>
        <v>3.7829679541657273E-3</v>
      </c>
      <c r="E33" s="72">
        <f t="shared" si="0"/>
        <v>2528.395810750068</v>
      </c>
      <c r="F33" s="69">
        <f t="shared" si="3"/>
        <v>540</v>
      </c>
      <c r="G33" s="206">
        <f t="shared" si="1"/>
        <v>1988.395810750068</v>
      </c>
      <c r="H33" s="174">
        <f t="shared" si="2"/>
        <v>4</v>
      </c>
      <c r="I33" s="72">
        <f t="shared" si="4"/>
        <v>668</v>
      </c>
      <c r="J33" s="72">
        <f t="shared" si="5"/>
        <v>1320.395810750068</v>
      </c>
    </row>
    <row r="34" spans="1:11" ht="16.350000000000001" customHeight="1">
      <c r="A34" s="152">
        <v>25</v>
      </c>
      <c r="B34" s="56"/>
      <c r="C34" s="205" t="s">
        <v>132</v>
      </c>
      <c r="D34" s="199">
        <f>'MORE Approved Formula w''17 Data'!H32</f>
        <v>1.1589189806383729E-2</v>
      </c>
      <c r="E34" s="72">
        <f t="shared" si="0"/>
        <v>7745.7856665640484</v>
      </c>
      <c r="F34" s="69">
        <f t="shared" si="3"/>
        <v>540</v>
      </c>
      <c r="G34" s="206">
        <f t="shared" si="1"/>
        <v>7205.7856665640484</v>
      </c>
      <c r="H34" s="174">
        <f t="shared" si="2"/>
        <v>12</v>
      </c>
      <c r="I34" s="72">
        <f t="shared" si="4"/>
        <v>2047</v>
      </c>
      <c r="J34" s="72">
        <f t="shared" si="5"/>
        <v>5158.7856665640484</v>
      </c>
      <c r="K34" t="s">
        <v>267</v>
      </c>
    </row>
    <row r="35" spans="1:11" ht="16.350000000000001" customHeight="1">
      <c r="A35" s="152">
        <v>26</v>
      </c>
      <c r="B35" s="56"/>
      <c r="C35" s="205" t="s">
        <v>133</v>
      </c>
      <c r="D35" s="199">
        <f>'MORE Approved Formula w''17 Data'!H38</f>
        <v>6.4471790068855478E-2</v>
      </c>
      <c r="E35" s="72">
        <f t="shared" si="0"/>
        <v>43090.559025790455</v>
      </c>
      <c r="F35" s="69">
        <f t="shared" si="3"/>
        <v>540</v>
      </c>
      <c r="G35" s="206">
        <f t="shared" si="1"/>
        <v>42550.559025790455</v>
      </c>
      <c r="H35" s="174">
        <f t="shared" si="2"/>
        <v>64</v>
      </c>
      <c r="I35" s="72">
        <f t="shared" si="4"/>
        <v>11386</v>
      </c>
      <c r="J35" s="72">
        <f t="shared" si="5"/>
        <v>31164.559025790455</v>
      </c>
      <c r="K35" t="s">
        <v>267</v>
      </c>
    </row>
    <row r="36" spans="1:11" ht="16.350000000000001" customHeight="1">
      <c r="A36" s="152">
        <v>27</v>
      </c>
      <c r="B36" s="56"/>
      <c r="C36" s="205" t="s">
        <v>134</v>
      </c>
      <c r="D36" s="199">
        <f>'MORE Approved Formula w''17 Data'!H44</f>
        <v>5.6627989663007097E-3</v>
      </c>
      <c r="E36" s="72">
        <f t="shared" si="0"/>
        <v>3784.8053055136411</v>
      </c>
      <c r="F36" s="69">
        <f t="shared" si="3"/>
        <v>540</v>
      </c>
      <c r="G36" s="206">
        <f t="shared" si="1"/>
        <v>3244.8053055136411</v>
      </c>
      <c r="H36" s="174">
        <f t="shared" si="2"/>
        <v>6</v>
      </c>
      <c r="I36" s="72">
        <f t="shared" si="4"/>
        <v>1000</v>
      </c>
      <c r="J36" s="72">
        <f t="shared" si="5"/>
        <v>2244.8053055136411</v>
      </c>
      <c r="K36" t="s">
        <v>267</v>
      </c>
    </row>
    <row r="37" spans="1:11" ht="16.350000000000001" customHeight="1">
      <c r="A37" s="152">
        <v>28</v>
      </c>
      <c r="B37" s="56"/>
      <c r="C37" s="205" t="s">
        <v>135</v>
      </c>
      <c r="D37" s="199">
        <f>'MORE Approved Formula w''17 Data'!H54</f>
        <v>1.4915253134918571E-2</v>
      </c>
      <c r="E37" s="72">
        <f t="shared" si="0"/>
        <v>9968.8033310135816</v>
      </c>
      <c r="F37" s="69">
        <f t="shared" si="3"/>
        <v>540</v>
      </c>
      <c r="G37" s="206">
        <f t="shared" si="1"/>
        <v>9428.8033310135816</v>
      </c>
      <c r="H37" s="174">
        <f t="shared" si="2"/>
        <v>15</v>
      </c>
      <c r="I37" s="72">
        <f t="shared" si="4"/>
        <v>2634</v>
      </c>
      <c r="J37" s="72">
        <f t="shared" si="5"/>
        <v>6794.8033310135816</v>
      </c>
      <c r="K37" t="s">
        <v>267</v>
      </c>
    </row>
    <row r="38" spans="1:11" ht="16.350000000000001" customHeight="1">
      <c r="A38" s="152">
        <v>29</v>
      </c>
      <c r="B38" s="56"/>
      <c r="C38" s="205" t="s">
        <v>136</v>
      </c>
      <c r="D38" s="199">
        <f>'MORE Approved Formula w''17 Data'!H22</f>
        <v>6.7338600112157532E-2</v>
      </c>
      <c r="E38" s="72">
        <f t="shared" si="0"/>
        <v>45006.628786761947</v>
      </c>
      <c r="F38" s="69">
        <f t="shared" si="3"/>
        <v>540</v>
      </c>
      <c r="G38" s="206">
        <f t="shared" si="1"/>
        <v>44466.628786761947</v>
      </c>
      <c r="H38" s="174">
        <f t="shared" si="2"/>
        <v>67</v>
      </c>
      <c r="I38" s="72">
        <f t="shared" si="4"/>
        <v>11892</v>
      </c>
      <c r="J38" s="72">
        <f t="shared" si="5"/>
        <v>32574.628786761947</v>
      </c>
      <c r="K38" t="s">
        <v>267</v>
      </c>
    </row>
    <row r="39" spans="1:11" ht="16.350000000000001" customHeight="1">
      <c r="A39" s="152">
        <v>30</v>
      </c>
      <c r="B39" s="56"/>
      <c r="C39" s="205" t="s">
        <v>137</v>
      </c>
      <c r="D39" s="199">
        <f>'MORE Approved Formula w''17 Data'!H50</f>
        <v>1.6637543287603123E-2</v>
      </c>
      <c r="E39" s="72">
        <f t="shared" si="0"/>
        <v>11119.918344332285</v>
      </c>
      <c r="F39" s="69">
        <f t="shared" si="3"/>
        <v>540</v>
      </c>
      <c r="G39" s="206">
        <f t="shared" si="1"/>
        <v>10579.918344332285</v>
      </c>
      <c r="H39" s="174">
        <f t="shared" si="2"/>
        <v>17</v>
      </c>
      <c r="I39" s="72">
        <f t="shared" si="4"/>
        <v>2938</v>
      </c>
      <c r="J39" s="72">
        <f t="shared" si="5"/>
        <v>7641.9183443322854</v>
      </c>
      <c r="K39" t="s">
        <v>267</v>
      </c>
    </row>
    <row r="40" spans="1:11" ht="16.350000000000001" customHeight="1">
      <c r="A40" s="152">
        <v>31</v>
      </c>
      <c r="B40" s="56"/>
      <c r="C40" s="205" t="s">
        <v>138</v>
      </c>
      <c r="D40" s="199">
        <f>'MORE Approved Formula w''17 Data'!H31</f>
        <v>8.521840366304179E-3</v>
      </c>
      <c r="E40" s="72">
        <f t="shared" si="0"/>
        <v>5695.68279274416</v>
      </c>
      <c r="F40" s="69">
        <f t="shared" si="3"/>
        <v>540</v>
      </c>
      <c r="G40" s="206">
        <f t="shared" si="1"/>
        <v>5155.68279274416</v>
      </c>
      <c r="H40" s="174">
        <f t="shared" si="2"/>
        <v>9</v>
      </c>
      <c r="I40" s="72">
        <f t="shared" si="4"/>
        <v>1505</v>
      </c>
      <c r="J40" s="72">
        <f t="shared" si="5"/>
        <v>3650.68279274416</v>
      </c>
    </row>
    <row r="41" spans="1:11" ht="16.350000000000001" customHeight="1">
      <c r="A41" s="152">
        <v>32</v>
      </c>
      <c r="B41" s="56"/>
      <c r="C41" s="205" t="s">
        <v>139</v>
      </c>
      <c r="D41" s="199">
        <f>'MORE Approved Formula w''17 Data'!H53</f>
        <v>8.5491209509108469E-3</v>
      </c>
      <c r="E41" s="72">
        <f t="shared" si="0"/>
        <v>5713.916126113626</v>
      </c>
      <c r="F41" s="69">
        <f t="shared" si="3"/>
        <v>540</v>
      </c>
      <c r="G41" s="206">
        <f t="shared" si="1"/>
        <v>5173.916126113626</v>
      </c>
      <c r="H41" s="174">
        <f t="shared" si="2"/>
        <v>9</v>
      </c>
      <c r="I41" s="72">
        <f t="shared" si="4"/>
        <v>1510</v>
      </c>
      <c r="J41" s="72">
        <f t="shared" si="5"/>
        <v>3663.916126113626</v>
      </c>
      <c r="K41" t="s">
        <v>267</v>
      </c>
    </row>
    <row r="42" spans="1:11" ht="16.350000000000001" customHeight="1">
      <c r="A42" s="152">
        <v>33</v>
      </c>
      <c r="B42" s="56"/>
      <c r="C42" s="205" t="s">
        <v>140</v>
      </c>
      <c r="D42" s="199">
        <f>'MORE Approved Formula w''17 Data'!H30</f>
        <v>3.8030218938434768E-3</v>
      </c>
      <c r="E42" s="72">
        <f t="shared" si="0"/>
        <v>2541.7991220349077</v>
      </c>
      <c r="F42" s="69">
        <f t="shared" si="3"/>
        <v>540</v>
      </c>
      <c r="G42" s="206">
        <f t="shared" si="1"/>
        <v>2001.7991220349077</v>
      </c>
      <c r="H42" s="174">
        <f t="shared" si="2"/>
        <v>4</v>
      </c>
      <c r="I42" s="72">
        <f t="shared" si="4"/>
        <v>672</v>
      </c>
      <c r="J42" s="72">
        <f t="shared" si="5"/>
        <v>1329.7991220349077</v>
      </c>
    </row>
    <row r="43" spans="1:11" ht="16.350000000000001" customHeight="1">
      <c r="A43" s="152">
        <v>34</v>
      </c>
      <c r="B43" s="56"/>
      <c r="C43" s="205" t="s">
        <v>141</v>
      </c>
      <c r="D43" s="199">
        <f>'MORE Approved Formula w''17 Data'!H34</f>
        <v>1.5573961820189511E-2</v>
      </c>
      <c r="E43" s="72">
        <f t="shared" si="0"/>
        <v>10409.059844027322</v>
      </c>
      <c r="F43" s="69">
        <f t="shared" si="3"/>
        <v>540</v>
      </c>
      <c r="G43" s="206">
        <f t="shared" si="1"/>
        <v>9869.0598440273225</v>
      </c>
      <c r="H43" s="174">
        <f t="shared" si="2"/>
        <v>16</v>
      </c>
      <c r="I43" s="72">
        <f t="shared" si="4"/>
        <v>2750</v>
      </c>
      <c r="J43" s="72">
        <f t="shared" si="5"/>
        <v>7119.0598440273225</v>
      </c>
    </row>
    <row r="44" spans="1:11" ht="16.350000000000001" customHeight="1">
      <c r="A44" s="152">
        <v>35</v>
      </c>
      <c r="B44" s="56"/>
      <c r="C44" s="205" t="s">
        <v>142</v>
      </c>
      <c r="D44" s="199">
        <f>'MORE Approved Formula w''17 Data'!H48</f>
        <v>3.5989595076631339E-2</v>
      </c>
      <c r="E44" s="72">
        <f t="shared" si="0"/>
        <v>24054.11373420255</v>
      </c>
      <c r="F44" s="69">
        <f t="shared" si="3"/>
        <v>540</v>
      </c>
      <c r="G44" s="206">
        <f t="shared" si="1"/>
        <v>23514.11373420255</v>
      </c>
      <c r="H44" s="174">
        <f t="shared" si="2"/>
        <v>36</v>
      </c>
      <c r="I44" s="72">
        <f t="shared" si="4"/>
        <v>6356</v>
      </c>
      <c r="J44" s="72">
        <f t="shared" si="5"/>
        <v>17158.11373420255</v>
      </c>
      <c r="K44" t="s">
        <v>267</v>
      </c>
    </row>
    <row r="45" spans="1:11" ht="17.100000000000001" customHeight="1">
      <c r="A45" s="153">
        <v>36</v>
      </c>
      <c r="B45" s="58"/>
      <c r="C45" s="171" t="s">
        <v>143</v>
      </c>
      <c r="D45" s="199">
        <f>'MORE Approved Formula w''17 Data'!H21</f>
        <v>9.9023102138508772E-3</v>
      </c>
      <c r="E45" s="72">
        <f t="shared" si="0"/>
        <v>6618.337761460014</v>
      </c>
      <c r="F45" s="207">
        <f t="shared" si="3"/>
        <v>540</v>
      </c>
      <c r="G45" s="206">
        <f t="shared" si="1"/>
        <v>6078.337761460014</v>
      </c>
      <c r="H45" s="174">
        <f t="shared" si="2"/>
        <v>10</v>
      </c>
      <c r="I45" s="72">
        <f t="shared" si="4"/>
        <v>1749</v>
      </c>
      <c r="J45" s="72">
        <f t="shared" si="5"/>
        <v>4329.337761460014</v>
      </c>
    </row>
    <row r="46" spans="1:11" ht="17.100000000000001" customHeight="1">
      <c r="A46" s="153">
        <v>37</v>
      </c>
      <c r="B46" s="58"/>
      <c r="C46" s="171" t="s">
        <v>144</v>
      </c>
      <c r="D46" s="199">
        <f>'MORE Approved Formula w''17 Data'!H11</f>
        <v>7.323662637089454E-3</v>
      </c>
      <c r="E46" s="72">
        <f t="shared" si="0"/>
        <v>4894.8651311130188</v>
      </c>
      <c r="F46" s="207">
        <f t="shared" si="3"/>
        <v>540</v>
      </c>
      <c r="G46" s="206">
        <f t="shared" si="1"/>
        <v>4354.8651311130188</v>
      </c>
      <c r="H46" s="174">
        <f t="shared" si="2"/>
        <v>7</v>
      </c>
      <c r="I46" s="72">
        <f t="shared" si="4"/>
        <v>1293</v>
      </c>
      <c r="J46" s="72">
        <f t="shared" si="5"/>
        <v>3061.8651311130188</v>
      </c>
    </row>
    <row r="47" spans="1:11" ht="17.100000000000001" customHeight="1">
      <c r="A47" s="153">
        <v>38</v>
      </c>
      <c r="B47" s="58"/>
      <c r="C47" s="171" t="s">
        <v>145</v>
      </c>
      <c r="D47" s="199">
        <f>'MORE Approved Formula w''17 Data'!H18</f>
        <v>8.1968220106260585E-3</v>
      </c>
      <c r="E47" s="72">
        <f t="shared" si="0"/>
        <v>5478.4525494880645</v>
      </c>
      <c r="F47" s="207">
        <f t="shared" si="3"/>
        <v>540</v>
      </c>
      <c r="G47" s="206">
        <f t="shared" si="1"/>
        <v>4938.4525494880645</v>
      </c>
      <c r="H47" s="174">
        <f t="shared" si="2"/>
        <v>8</v>
      </c>
      <c r="I47" s="72">
        <f t="shared" si="4"/>
        <v>1448</v>
      </c>
      <c r="J47" s="72">
        <f t="shared" si="5"/>
        <v>3490.4525494880645</v>
      </c>
    </row>
    <row r="48" spans="1:11" ht="17.100000000000001" customHeight="1">
      <c r="A48" s="153">
        <v>39</v>
      </c>
      <c r="B48" s="58"/>
      <c r="C48" s="171" t="s">
        <v>146</v>
      </c>
      <c r="D48" s="199">
        <f>'MORE Approved Formula w''17 Data'!H46</f>
        <v>6.9231258419041345E-3</v>
      </c>
      <c r="E48" s="72">
        <f t="shared" si="0"/>
        <v>4627.1611570725727</v>
      </c>
      <c r="F48" s="207">
        <f t="shared" si="3"/>
        <v>540</v>
      </c>
      <c r="G48" s="206">
        <f t="shared" si="1"/>
        <v>4087.1611570725727</v>
      </c>
      <c r="H48" s="174">
        <f t="shared" si="2"/>
        <v>7</v>
      </c>
      <c r="I48" s="72">
        <f t="shared" si="4"/>
        <v>1223</v>
      </c>
      <c r="J48" s="72">
        <f t="shared" si="5"/>
        <v>2864.1611570725727</v>
      </c>
    </row>
    <row r="49" spans="1:11" ht="17.100000000000001" customHeight="1">
      <c r="A49" s="153">
        <v>40</v>
      </c>
      <c r="B49" s="58"/>
      <c r="C49" s="171" t="s">
        <v>147</v>
      </c>
      <c r="D49" s="199">
        <f>'MORE Approved Formula w''17 Data'!H45</f>
        <v>1.5109649883506484E-2</v>
      </c>
      <c r="E49" s="72">
        <f t="shared" si="0"/>
        <v>10098.730925090043</v>
      </c>
      <c r="F49" s="207">
        <f t="shared" si="3"/>
        <v>540</v>
      </c>
      <c r="G49" s="206">
        <f t="shared" si="1"/>
        <v>9558.7309250900435</v>
      </c>
      <c r="H49" s="174">
        <f t="shared" si="2"/>
        <v>15</v>
      </c>
      <c r="I49" s="72">
        <f t="shared" si="4"/>
        <v>2668</v>
      </c>
      <c r="J49" s="72">
        <f t="shared" si="5"/>
        <v>6890.7309250900435</v>
      </c>
    </row>
    <row r="50" spans="1:11" ht="17.100000000000001" customHeight="1">
      <c r="A50" s="153">
        <v>41</v>
      </c>
      <c r="B50" s="58"/>
      <c r="C50" s="171" t="s">
        <v>148</v>
      </c>
      <c r="D50" s="199">
        <f>'MORE Approved Formula w''17 Data'!H55</f>
        <v>1.1710055442819894E-2</v>
      </c>
      <c r="E50" s="72">
        <f t="shared" si="0"/>
        <v>7826.5677859294328</v>
      </c>
      <c r="F50" s="207">
        <f t="shared" si="3"/>
        <v>540</v>
      </c>
      <c r="G50" s="206">
        <f t="shared" si="1"/>
        <v>7286.5677859294328</v>
      </c>
      <c r="H50" s="174">
        <f t="shared" si="2"/>
        <v>12</v>
      </c>
      <c r="I50" s="72">
        <f t="shared" si="4"/>
        <v>2068</v>
      </c>
      <c r="J50" s="72">
        <f t="shared" si="5"/>
        <v>5218.5677859294328</v>
      </c>
      <c r="K50" t="s">
        <v>267</v>
      </c>
    </row>
    <row r="51" spans="1:11" ht="17.100000000000001" customHeight="1">
      <c r="A51" s="153">
        <v>42</v>
      </c>
      <c r="B51" s="58"/>
      <c r="C51" s="171" t="s">
        <v>149</v>
      </c>
      <c r="D51" s="199">
        <f>'MORE Approved Formula w''17 Data'!H14</f>
        <v>1.7391824352059014E-2</v>
      </c>
      <c r="E51" s="72">
        <f t="shared" si="0"/>
        <v>11624.051899415219</v>
      </c>
      <c r="F51" s="207">
        <f t="shared" si="3"/>
        <v>540</v>
      </c>
      <c r="G51" s="206">
        <f t="shared" si="1"/>
        <v>11084.051899415219</v>
      </c>
      <c r="H51" s="174">
        <f t="shared" si="2"/>
        <v>17</v>
      </c>
      <c r="I51" s="72">
        <f t="shared" si="4"/>
        <v>3071</v>
      </c>
      <c r="J51" s="72">
        <f t="shared" si="5"/>
        <v>8013.0518994152189</v>
      </c>
      <c r="K51" t="s">
        <v>267</v>
      </c>
    </row>
    <row r="52" spans="1:11" ht="17.100000000000001" customHeight="1">
      <c r="A52" s="153">
        <v>43</v>
      </c>
      <c r="B52" s="58"/>
      <c r="C52" s="171" t="s">
        <v>150</v>
      </c>
      <c r="D52" s="199">
        <f>'MORE Approved Formula w''17 Data'!H17</f>
        <v>5.5901711847650762E-3</v>
      </c>
      <c r="E52" s="72">
        <f t="shared" si="0"/>
        <v>3736.2635835631404</v>
      </c>
      <c r="F52" s="207">
        <f t="shared" si="3"/>
        <v>540</v>
      </c>
      <c r="G52" s="206">
        <f t="shared" si="1"/>
        <v>3196.2635835631404</v>
      </c>
      <c r="H52" s="174">
        <f t="shared" si="2"/>
        <v>6</v>
      </c>
      <c r="I52" s="72">
        <f t="shared" si="4"/>
        <v>987</v>
      </c>
      <c r="J52" s="72">
        <f t="shared" si="5"/>
        <v>2209.2635835631404</v>
      </c>
    </row>
    <row r="53" spans="1:11" ht="17.100000000000001" customHeight="1">
      <c r="A53" s="153">
        <v>44</v>
      </c>
      <c r="B53" s="58"/>
      <c r="C53" s="171" t="s">
        <v>151</v>
      </c>
      <c r="D53" s="199">
        <f>'MORE Approved Formula w''17 Data'!H19</f>
        <v>5.9498774361020053E-3</v>
      </c>
      <c r="E53" s="72">
        <f t="shared" si="0"/>
        <v>3976.6779328254447</v>
      </c>
      <c r="F53" s="207">
        <f t="shared" si="3"/>
        <v>540</v>
      </c>
      <c r="G53" s="206">
        <f t="shared" si="1"/>
        <v>3436.6779328254447</v>
      </c>
      <c r="H53" s="174">
        <f t="shared" si="2"/>
        <v>6</v>
      </c>
      <c r="I53" s="72">
        <f t="shared" si="4"/>
        <v>1051</v>
      </c>
      <c r="J53" s="72">
        <f t="shared" si="5"/>
        <v>2385.6779328254447</v>
      </c>
    </row>
    <row r="54" spans="1:11" ht="17.100000000000001" customHeight="1">
      <c r="A54" s="153">
        <v>45</v>
      </c>
      <c r="B54" s="58"/>
      <c r="C54" s="171" t="s">
        <v>152</v>
      </c>
      <c r="D54" s="199">
        <f>'MORE Approved Formula w''17 Data'!H25</f>
        <v>1.6527517618560337E-2</v>
      </c>
      <c r="E54" s="72">
        <f t="shared" si="0"/>
        <v>11046.381258093843</v>
      </c>
      <c r="F54" s="207">
        <f t="shared" si="3"/>
        <v>540</v>
      </c>
      <c r="G54" s="206">
        <f t="shared" si="1"/>
        <v>10506.381258093843</v>
      </c>
      <c r="H54" s="174">
        <f t="shared" si="2"/>
        <v>17</v>
      </c>
      <c r="I54" s="72">
        <f t="shared" si="4"/>
        <v>2919</v>
      </c>
      <c r="J54" s="72">
        <f t="shared" si="5"/>
        <v>7587.3812580938429</v>
      </c>
    </row>
    <row r="55" spans="1:11" ht="17.100000000000001" customHeight="1">
      <c r="A55" s="153">
        <v>46</v>
      </c>
      <c r="B55" s="58"/>
      <c r="C55" s="171" t="s">
        <v>153</v>
      </c>
      <c r="D55" s="199">
        <f>'MORE Approved Formula w''17 Data'!H36</f>
        <v>2.6597305328638906E-2</v>
      </c>
      <c r="E55" s="72">
        <f t="shared" si="0"/>
        <v>17776.654781365087</v>
      </c>
      <c r="F55" s="207">
        <f t="shared" si="3"/>
        <v>540</v>
      </c>
      <c r="G55" s="206">
        <f t="shared" si="1"/>
        <v>17236.654781365087</v>
      </c>
      <c r="H55" s="174">
        <f t="shared" si="2"/>
        <v>27</v>
      </c>
      <c r="I55" s="72">
        <f t="shared" si="4"/>
        <v>4697</v>
      </c>
      <c r="J55" s="72">
        <f t="shared" si="5"/>
        <v>12539.654781365087</v>
      </c>
      <c r="K55" s="258" t="s">
        <v>267</v>
      </c>
    </row>
    <row r="56" spans="1:11" ht="17.100000000000001" customHeight="1">
      <c r="A56" s="153">
        <v>47</v>
      </c>
      <c r="B56" s="58"/>
      <c r="C56" s="171" t="s">
        <v>154</v>
      </c>
      <c r="D56" s="199">
        <f>'MORE Approved Formula w''17 Data'!H56</f>
        <v>6.1981126894103634E-3</v>
      </c>
      <c r="E56" s="72">
        <f t="shared" si="0"/>
        <v>4142.5891914323784</v>
      </c>
      <c r="F56" s="207">
        <f t="shared" si="3"/>
        <v>540</v>
      </c>
      <c r="G56" s="206">
        <f t="shared" si="1"/>
        <v>3602.5891914323784</v>
      </c>
      <c r="H56" s="174">
        <f t="shared" si="2"/>
        <v>6</v>
      </c>
      <c r="I56" s="72">
        <f t="shared" si="4"/>
        <v>1095</v>
      </c>
      <c r="J56" s="72">
        <f t="shared" si="5"/>
        <v>2507.5891914323784</v>
      </c>
    </row>
    <row r="57" spans="1:11" ht="17.100000000000001" customHeight="1">
      <c r="A57" s="153">
        <v>48</v>
      </c>
      <c r="B57" s="58"/>
      <c r="C57" s="171" t="s">
        <v>155</v>
      </c>
      <c r="D57" s="199">
        <f>'MORE Approved Formula w''17 Data'!H51</f>
        <v>2.8763853478328736E-3</v>
      </c>
      <c r="E57" s="72">
        <f t="shared" si="0"/>
        <v>1922.4695402336229</v>
      </c>
      <c r="F57" s="207">
        <f t="shared" si="3"/>
        <v>540</v>
      </c>
      <c r="G57" s="206">
        <f t="shared" si="1"/>
        <v>1382.4695402336229</v>
      </c>
      <c r="H57" s="174">
        <f>ROUND(D57*1000,0)</f>
        <v>3</v>
      </c>
      <c r="I57" s="72">
        <f t="shared" si="4"/>
        <v>508</v>
      </c>
      <c r="J57" s="72">
        <f t="shared" si="5"/>
        <v>874.46954023362287</v>
      </c>
    </row>
    <row r="58" spans="1:11" ht="17.100000000000001" customHeight="1">
      <c r="A58" s="153">
        <v>49</v>
      </c>
      <c r="B58" s="58"/>
      <c r="C58" s="171" t="s">
        <v>156</v>
      </c>
      <c r="D58" s="199">
        <f>'MORE Approved Formula w''17 Data'!H15</f>
        <v>1.5234128842407109E-2</v>
      </c>
      <c r="E58" s="72">
        <f t="shared" si="0"/>
        <v>10181.928055497743</v>
      </c>
      <c r="F58" s="207">
        <f t="shared" si="3"/>
        <v>540</v>
      </c>
      <c r="G58" s="206">
        <f t="shared" si="1"/>
        <v>9641.9280554977431</v>
      </c>
      <c r="H58" s="174">
        <f>ROUND(D58*1000,0)</f>
        <v>15</v>
      </c>
      <c r="I58" s="72">
        <f t="shared" si="4"/>
        <v>2690</v>
      </c>
      <c r="J58" s="72">
        <f t="shared" si="5"/>
        <v>6951.9280554977431</v>
      </c>
    </row>
    <row r="59" spans="1:11" ht="17.100000000000001" customHeight="1">
      <c r="A59" s="153">
        <v>50</v>
      </c>
      <c r="B59" s="58"/>
      <c r="C59" s="171" t="s">
        <v>157</v>
      </c>
      <c r="D59" s="199">
        <f>'MORE Approved Formula w''17 Data'!H10</f>
        <v>2.4178366604806587E-2</v>
      </c>
      <c r="E59" s="72">
        <f t="shared" si="0"/>
        <v>16159.925639088344</v>
      </c>
      <c r="F59" s="207">
        <f t="shared" si="3"/>
        <v>540</v>
      </c>
      <c r="G59" s="206">
        <f t="shared" si="1"/>
        <v>15619.925639088344</v>
      </c>
      <c r="H59" s="174">
        <f>ROUND(D59*1000,0)</f>
        <v>24</v>
      </c>
      <c r="I59" s="72">
        <f t="shared" si="4"/>
        <v>4270</v>
      </c>
      <c r="J59" s="72">
        <f t="shared" si="5"/>
        <v>11349.925639088344</v>
      </c>
      <c r="K59" t="s">
        <v>267</v>
      </c>
    </row>
    <row r="60" spans="1:11" ht="17.100000000000001" customHeight="1">
      <c r="A60" s="153">
        <v>51</v>
      </c>
      <c r="B60" s="58"/>
      <c r="C60" s="171" t="s">
        <v>158</v>
      </c>
      <c r="D60" s="199">
        <f>'MORE Approved Formula w''17 Data'!H41</f>
        <v>4.8507047424134683E-3</v>
      </c>
      <c r="E60" s="72">
        <f t="shared" si="0"/>
        <v>3242.031573753693</v>
      </c>
      <c r="F60" s="207">
        <f t="shared" si="3"/>
        <v>540</v>
      </c>
      <c r="G60" s="206">
        <f t="shared" si="1"/>
        <v>2702.031573753693</v>
      </c>
      <c r="H60" s="174"/>
      <c r="I60" s="72">
        <f t="shared" si="4"/>
        <v>857</v>
      </c>
      <c r="J60" s="72">
        <f t="shared" si="5"/>
        <v>1845.031573753693</v>
      </c>
    </row>
    <row r="61" spans="1:11" ht="17.100000000000001" customHeight="1">
      <c r="A61" s="152"/>
      <c r="B61" s="56"/>
      <c r="C61" s="56" t="s">
        <v>159</v>
      </c>
      <c r="D61" s="56"/>
      <c r="E61" s="73"/>
      <c r="F61" s="70"/>
      <c r="G61" s="206">
        <f>SUM(E10:E60)-SUM(G10:G60)</f>
        <v>26460</v>
      </c>
      <c r="H61" s="175"/>
      <c r="I61" s="6"/>
      <c r="J61" s="6"/>
    </row>
    <row r="62" spans="1:11" ht="5.25" customHeight="1" thickBot="1">
      <c r="A62" s="153"/>
      <c r="B62" s="58"/>
      <c r="C62" s="58"/>
      <c r="D62" s="58"/>
      <c r="E62" s="74"/>
      <c r="F62" s="71"/>
      <c r="G62" s="176"/>
      <c r="H62" s="177"/>
      <c r="I62" s="16"/>
      <c r="J62" s="16"/>
    </row>
    <row r="63" spans="1:11" ht="18.75" customHeight="1" thickBot="1">
      <c r="A63" s="59"/>
      <c r="B63" s="60"/>
      <c r="C63" s="61" t="s">
        <v>160</v>
      </c>
      <c r="D63" s="80">
        <f>SUM(D10:D61)</f>
        <v>1.0000000000000004</v>
      </c>
      <c r="E63" s="75">
        <f>SUM(E10:E62)</f>
        <v>668363</v>
      </c>
      <c r="F63" s="149">
        <f>SUM(F10:F62)</f>
        <v>26460</v>
      </c>
      <c r="G63" s="150">
        <f>SUM(G10:G62)-G61</f>
        <v>641903</v>
      </c>
      <c r="H63" s="178">
        <f>SUM(H10:H61)</f>
        <v>997</v>
      </c>
      <c r="I63" s="75">
        <f>SUM(I10:I62)</f>
        <v>176599</v>
      </c>
      <c r="J63" s="75">
        <f>SUM(J10:J62)</f>
        <v>465304.00000000012</v>
      </c>
    </row>
    <row r="64" spans="1:11" ht="13.5" customHeight="1">
      <c r="A64" s="29"/>
      <c r="B64" s="31"/>
      <c r="C64" s="29"/>
      <c r="D64" s="29"/>
      <c r="E64" s="141" t="s">
        <v>161</v>
      </c>
      <c r="F64" s="29"/>
      <c r="G64" s="29"/>
    </row>
    <row r="65" spans="1:7" ht="27" hidden="1" customHeight="1">
      <c r="A65" s="29"/>
      <c r="B65" s="29"/>
      <c r="C65" s="29"/>
      <c r="D65" s="29"/>
      <c r="E65" s="53"/>
      <c r="F65" s="52" t="s">
        <v>162</v>
      </c>
      <c r="G65" s="45">
        <v>0</v>
      </c>
    </row>
    <row r="66" spans="1:7">
      <c r="A66" s="29"/>
      <c r="B66" s="29"/>
      <c r="C66" s="29" t="s">
        <v>163</v>
      </c>
      <c r="D66" s="29"/>
      <c r="E66" s="54"/>
      <c r="F66" s="29"/>
      <c r="G66" s="29"/>
    </row>
    <row r="67" spans="1:7">
      <c r="A67" s="29"/>
      <c r="B67" s="29"/>
      <c r="C67" s="29"/>
      <c r="D67" s="29"/>
      <c r="E67" s="29"/>
      <c r="F67" s="29"/>
      <c r="G67" s="29"/>
    </row>
    <row r="68" spans="1:7">
      <c r="F68" s="55"/>
    </row>
    <row r="69" spans="1:7" ht="15.75" thickBot="1">
      <c r="A69" s="230" t="s">
        <v>267</v>
      </c>
      <c r="B69" s="158" t="s">
        <v>164</v>
      </c>
      <c r="C69" s="158"/>
      <c r="D69" s="157"/>
      <c r="E69" s="157"/>
      <c r="F69" s="157"/>
      <c r="G69" s="157"/>
    </row>
    <row r="70" spans="1:7" ht="19.5" customHeight="1">
      <c r="C70" s="137" t="s">
        <v>165</v>
      </c>
      <c r="D70" s="264">
        <v>642</v>
      </c>
      <c r="E70" s="137" t="s">
        <v>334</v>
      </c>
    </row>
    <row r="71" spans="1:7" ht="14.25" customHeight="1">
      <c r="C71" s="137" t="s">
        <v>167</v>
      </c>
      <c r="D71" s="264">
        <v>321</v>
      </c>
      <c r="E71" s="137" t="s">
        <v>166</v>
      </c>
    </row>
    <row r="72" spans="1:7" ht="14.25" customHeight="1">
      <c r="C72" s="137" t="s">
        <v>168</v>
      </c>
      <c r="D72" s="264">
        <v>321</v>
      </c>
      <c r="E72" s="137" t="s">
        <v>166</v>
      </c>
    </row>
    <row r="73" spans="1:7" ht="14.25" customHeight="1">
      <c r="C73" s="137" t="s">
        <v>169</v>
      </c>
      <c r="D73" s="264">
        <v>321</v>
      </c>
      <c r="E73" s="137" t="s">
        <v>170</v>
      </c>
    </row>
    <row r="74" spans="1:7" ht="14.25" customHeight="1">
      <c r="C74" s="137" t="s">
        <v>171</v>
      </c>
      <c r="D74" s="264">
        <v>321</v>
      </c>
      <c r="E74" s="137" t="s">
        <v>166</v>
      </c>
    </row>
    <row r="75" spans="1:7" ht="30" customHeight="1">
      <c r="C75" s="267" t="s">
        <v>366</v>
      </c>
      <c r="D75" s="264">
        <v>1617</v>
      </c>
      <c r="E75" s="137" t="s">
        <v>173</v>
      </c>
    </row>
    <row r="76" spans="1:7">
      <c r="A76" s="258"/>
      <c r="B76" s="258"/>
      <c r="C76" s="267" t="s">
        <v>335</v>
      </c>
      <c r="D76" s="264">
        <v>963</v>
      </c>
      <c r="E76" s="137" t="s">
        <v>336</v>
      </c>
      <c r="F76" s="258"/>
      <c r="G76" s="258"/>
    </row>
    <row r="77" spans="1:7">
      <c r="C77" s="137" t="s">
        <v>174</v>
      </c>
      <c r="D77" s="264">
        <v>321</v>
      </c>
      <c r="E77" s="137" t="s">
        <v>170</v>
      </c>
    </row>
    <row r="78" spans="1:7">
      <c r="C78" s="137" t="s">
        <v>175</v>
      </c>
      <c r="D78" s="264">
        <v>321</v>
      </c>
      <c r="E78" s="137" t="s">
        <v>170</v>
      </c>
    </row>
    <row r="79" spans="1:7">
      <c r="C79" s="137" t="s">
        <v>176</v>
      </c>
      <c r="D79" s="264">
        <v>321</v>
      </c>
      <c r="E79" s="137" t="s">
        <v>166</v>
      </c>
    </row>
    <row r="80" spans="1:7">
      <c r="C80" s="137" t="s">
        <v>177</v>
      </c>
      <c r="D80" s="264">
        <v>642</v>
      </c>
      <c r="E80" s="137" t="s">
        <v>178</v>
      </c>
    </row>
    <row r="81" spans="1:8">
      <c r="C81" s="137" t="s">
        <v>179</v>
      </c>
      <c r="D81" s="264">
        <v>642</v>
      </c>
      <c r="E81" s="137" t="s">
        <v>178</v>
      </c>
    </row>
    <row r="82" spans="1:8">
      <c r="C82" s="137" t="s">
        <v>180</v>
      </c>
      <c r="D82" s="264">
        <v>642</v>
      </c>
      <c r="E82" s="137" t="s">
        <v>178</v>
      </c>
    </row>
    <row r="83" spans="1:8">
      <c r="C83" s="137" t="s">
        <v>181</v>
      </c>
      <c r="D83" s="264">
        <v>321</v>
      </c>
      <c r="E83" s="137" t="s">
        <v>166</v>
      </c>
    </row>
    <row r="84" spans="1:8">
      <c r="C84" s="137" t="s">
        <v>182</v>
      </c>
      <c r="D84" s="264">
        <v>321</v>
      </c>
      <c r="E84" s="137" t="s">
        <v>170</v>
      </c>
    </row>
    <row r="85" spans="1:8">
      <c r="C85" s="137" t="s">
        <v>183</v>
      </c>
      <c r="D85" s="264">
        <v>321</v>
      </c>
      <c r="E85" s="137" t="s">
        <v>170</v>
      </c>
    </row>
    <row r="86" spans="1:8">
      <c r="C86" s="137" t="s">
        <v>184</v>
      </c>
      <c r="D86" s="264">
        <v>642</v>
      </c>
      <c r="E86" s="137" t="s">
        <v>185</v>
      </c>
    </row>
    <row r="87" spans="1:8" s="258" customFormat="1">
      <c r="A87"/>
      <c r="B87"/>
      <c r="C87" s="137" t="s">
        <v>186</v>
      </c>
      <c r="D87" s="264">
        <v>321</v>
      </c>
      <c r="E87" s="137" t="s">
        <v>170</v>
      </c>
      <c r="F87"/>
      <c r="G87"/>
    </row>
    <row r="88" spans="1:8">
      <c r="A88" s="258"/>
      <c r="B88" s="258"/>
      <c r="C88" s="137" t="s">
        <v>241</v>
      </c>
      <c r="D88" s="264">
        <v>321</v>
      </c>
      <c r="E88" s="137" t="s">
        <v>293</v>
      </c>
      <c r="F88" s="258"/>
      <c r="G88" s="258"/>
    </row>
    <row r="89" spans="1:8">
      <c r="A89" s="258"/>
      <c r="B89" s="258"/>
      <c r="C89" s="137" t="s">
        <v>242</v>
      </c>
      <c r="D89" s="264">
        <v>321</v>
      </c>
      <c r="E89" s="137" t="s">
        <v>293</v>
      </c>
      <c r="F89" s="258"/>
      <c r="G89" s="258"/>
    </row>
    <row r="90" spans="1:8" ht="15" thickBot="1">
      <c r="C90" s="137" t="s">
        <v>187</v>
      </c>
      <c r="D90" s="264">
        <v>321</v>
      </c>
      <c r="E90" s="137" t="s">
        <v>170</v>
      </c>
    </row>
    <row r="91" spans="1:8" ht="15" thickBot="1">
      <c r="C91" s="137" t="s">
        <v>188</v>
      </c>
      <c r="D91" s="264">
        <v>321</v>
      </c>
      <c r="E91" s="137" t="s">
        <v>170</v>
      </c>
      <c r="H91" s="139"/>
    </row>
    <row r="92" spans="1:8" ht="15" thickBot="1">
      <c r="A92" s="139"/>
      <c r="B92" s="139"/>
      <c r="C92" s="140" t="s">
        <v>190</v>
      </c>
      <c r="D92" s="75">
        <f>SUM(D70:D91)</f>
        <v>10605</v>
      </c>
      <c r="E92" s="263"/>
      <c r="F92" s="139"/>
      <c r="G92" s="139"/>
    </row>
    <row r="93" spans="1:8">
      <c r="C93" s="137"/>
    </row>
    <row r="94" spans="1:8" ht="15">
      <c r="C94" s="159"/>
      <c r="D94" s="160"/>
    </row>
  </sheetData>
  <mergeCells count="1">
    <mergeCell ref="I6:J6"/>
  </mergeCells>
  <phoneticPr fontId="0" type="noConversion"/>
  <pageMargins left="0.48" right="0.48" top="0.6" bottom="0.6" header="0.37" footer="0.26"/>
  <pageSetup scale="76" fitToHeight="2" orientation="portrait" verticalDpi="300" r:id="rId1"/>
  <headerFooter>
    <oddHeader>&amp;C&amp;K0000002019 Recommended MORE Budget</oddHeader>
    <oddFooter>&amp;C&amp;A</oddFoot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1"/>
    <pageSetUpPr fitToPage="1"/>
  </sheetPr>
  <dimension ref="A1:W63"/>
  <sheetViews>
    <sheetView zoomScaleNormal="100" workbookViewId="0"/>
  </sheetViews>
  <sheetFormatPr defaultColWidth="8" defaultRowHeight="12.75"/>
  <cols>
    <col min="1" max="1" width="3.75" style="87" customWidth="1"/>
    <col min="2" max="2" width="11.75" style="87" customWidth="1"/>
    <col min="3" max="3" width="9.875" style="87" bestFit="1" customWidth="1"/>
    <col min="4" max="4" width="9.875" style="87" customWidth="1"/>
    <col min="5" max="5" width="9.875" style="87" bestFit="1" customWidth="1"/>
    <col min="6" max="7" width="9.875" style="87" customWidth="1"/>
    <col min="8" max="8" width="8.375" style="87" customWidth="1"/>
    <col min="9" max="9" width="9.25" style="87" bestFit="1" customWidth="1"/>
    <col min="10" max="10" width="7.75" style="87" customWidth="1"/>
    <col min="11" max="11" width="9.25" style="87" bestFit="1" customWidth="1"/>
    <col min="12" max="12" width="9.25" style="87" customWidth="1"/>
    <col min="13" max="13" width="9.25" style="87" bestFit="1" customWidth="1"/>
    <col min="14" max="14" width="7" style="87" customWidth="1"/>
    <col min="15" max="15" width="0.75" style="87" customWidth="1"/>
    <col min="16" max="16" width="9.25" style="87" customWidth="1"/>
    <col min="17" max="17" width="7.875" style="87" customWidth="1"/>
    <col min="18" max="18" width="9.25" style="87" bestFit="1" customWidth="1"/>
    <col min="19" max="19" width="9.125" style="87" customWidth="1"/>
    <col min="20" max="22" width="8" style="87"/>
    <col min="23" max="23" width="9" style="87" bestFit="1" customWidth="1"/>
    <col min="24" max="16384" width="8" style="87"/>
  </cols>
  <sheetData>
    <row r="1" spans="1:23" ht="15" customHeight="1">
      <c r="B1" s="86" t="s">
        <v>337</v>
      </c>
      <c r="H1" s="86" t="s">
        <v>191</v>
      </c>
      <c r="J1" s="208">
        <f>D5+J58</f>
        <v>85177</v>
      </c>
      <c r="K1" s="156"/>
      <c r="Q1" s="86"/>
    </row>
    <row r="2" spans="1:23">
      <c r="B2" s="86" t="s">
        <v>363</v>
      </c>
      <c r="H2" s="163" t="s">
        <v>192</v>
      </c>
      <c r="J2" s="209">
        <v>540</v>
      </c>
      <c r="K2" s="156"/>
    </row>
    <row r="3" spans="1:23" ht="8.25" customHeight="1"/>
    <row r="4" spans="1:23" ht="13.5" thickBot="1">
      <c r="A4" s="86" t="s">
        <v>364</v>
      </c>
      <c r="B4" s="86"/>
      <c r="D4" s="89" t="s">
        <v>193</v>
      </c>
      <c r="E4" s="89" t="s">
        <v>194</v>
      </c>
      <c r="F4" s="89" t="s">
        <v>195</v>
      </c>
    </row>
    <row r="5" spans="1:23" ht="13.5" thickBot="1">
      <c r="B5" s="87" t="s">
        <v>196</v>
      </c>
      <c r="C5" s="162">
        <f>'2019 Recommended Budget'!H48</f>
        <v>727080</v>
      </c>
      <c r="D5" s="310">
        <f>85177-(J2*49)</f>
        <v>58717</v>
      </c>
      <c r="E5" s="210">
        <f>C5-D5</f>
        <v>668363</v>
      </c>
      <c r="F5" s="211">
        <f>'2019 Recommended Budget'!H41</f>
        <v>176600</v>
      </c>
      <c r="I5" s="89">
        <v>7</v>
      </c>
      <c r="J5" s="89">
        <v>8</v>
      </c>
      <c r="K5" s="89">
        <v>9</v>
      </c>
      <c r="L5" s="89"/>
      <c r="M5" s="89">
        <v>10</v>
      </c>
      <c r="N5" s="89">
        <v>11</v>
      </c>
    </row>
    <row r="6" spans="1:23" ht="12" customHeight="1" thickBot="1">
      <c r="C6" s="88"/>
      <c r="D6" s="156"/>
      <c r="I6" s="313" t="s">
        <v>365</v>
      </c>
      <c r="J6" s="314"/>
      <c r="K6" s="314"/>
      <c r="L6" s="314"/>
      <c r="M6" s="314"/>
      <c r="N6" s="315"/>
      <c r="P6" s="89">
        <v>12</v>
      </c>
      <c r="Q6" s="89">
        <v>13</v>
      </c>
      <c r="R6" s="89">
        <v>14</v>
      </c>
      <c r="S6" s="89">
        <v>15</v>
      </c>
    </row>
    <row r="7" spans="1:23" ht="12.75" customHeight="1" thickBot="1">
      <c r="C7" s="89">
        <v>1</v>
      </c>
      <c r="D7" s="89">
        <v>2</v>
      </c>
      <c r="E7" s="89">
        <v>3</v>
      </c>
      <c r="F7" s="89">
        <v>4</v>
      </c>
      <c r="G7" s="89">
        <v>5</v>
      </c>
      <c r="H7" s="89">
        <v>6</v>
      </c>
      <c r="I7" s="316" t="s">
        <v>197</v>
      </c>
      <c r="J7" s="317"/>
      <c r="K7" s="317"/>
      <c r="L7" s="317"/>
      <c r="M7" s="317"/>
      <c r="N7" s="318"/>
      <c r="P7" s="313" t="s">
        <v>353</v>
      </c>
      <c r="Q7" s="314"/>
      <c r="R7" s="314"/>
      <c r="S7" s="186"/>
      <c r="W7" s="90"/>
    </row>
    <row r="8" spans="1:23" s="91" customFormat="1" ht="27" customHeight="1" thickBot="1">
      <c r="B8" s="91" t="s">
        <v>198</v>
      </c>
      <c r="C8" s="92" t="s">
        <v>331</v>
      </c>
      <c r="D8" s="92" t="s">
        <v>199</v>
      </c>
      <c r="E8" s="92" t="s">
        <v>332</v>
      </c>
      <c r="F8" s="92" t="s">
        <v>200</v>
      </c>
      <c r="G8" s="92" t="s">
        <v>201</v>
      </c>
      <c r="H8" s="92" t="s">
        <v>202</v>
      </c>
      <c r="I8" s="93" t="s">
        <v>333</v>
      </c>
      <c r="J8" s="92" t="s">
        <v>203</v>
      </c>
      <c r="K8" s="168" t="s">
        <v>204</v>
      </c>
      <c r="L8" s="144" t="s">
        <v>205</v>
      </c>
      <c r="M8" s="92" t="s">
        <v>206</v>
      </c>
      <c r="N8" s="94" t="s">
        <v>207</v>
      </c>
      <c r="O8" s="92"/>
      <c r="P8" s="238" t="s">
        <v>309</v>
      </c>
      <c r="Q8" s="237" t="s">
        <v>203</v>
      </c>
      <c r="R8" s="254" t="s">
        <v>204</v>
      </c>
      <c r="S8" s="254" t="s">
        <v>205</v>
      </c>
      <c r="U8" s="92"/>
      <c r="V8" s="92"/>
    </row>
    <row r="9" spans="1:23" s="95" customFormat="1" ht="15.75" customHeight="1">
      <c r="A9" s="148">
        <v>1</v>
      </c>
      <c r="B9" s="95" t="s">
        <v>165</v>
      </c>
      <c r="C9" s="286">
        <v>54126</v>
      </c>
      <c r="D9" s="212">
        <f>C9/$C$58</f>
        <v>3.5797169215466211E-2</v>
      </c>
      <c r="E9" s="265">
        <v>135833</v>
      </c>
      <c r="F9" s="212">
        <f>E9/$E$58</f>
        <v>3.3763661577413971E-2</v>
      </c>
      <c r="G9" s="213">
        <f>C9+E9</f>
        <v>189959</v>
      </c>
      <c r="H9" s="214">
        <f>G9/$G$58</f>
        <v>3.4319156101311782E-2</v>
      </c>
      <c r="I9" s="96">
        <f>ROUND(H9*$E$5,0)</f>
        <v>22938</v>
      </c>
      <c r="J9" s="215">
        <f t="shared" ref="J9:J19" si="0">IF(AND((I9-$J$2)&lt;800, (I9-$J$2)&lt;1000),I9-800,$J$2)</f>
        <v>540</v>
      </c>
      <c r="K9" s="216">
        <f t="shared" ref="K9:K57" si="1">I9-J9</f>
        <v>22398</v>
      </c>
      <c r="L9" s="217">
        <f>ROUND(H9*$F$5,0)</f>
        <v>6061</v>
      </c>
      <c r="M9" s="218">
        <f t="shared" ref="M9:M57" si="2">K9-R9</f>
        <v>1085</v>
      </c>
      <c r="N9" s="219">
        <f>(K9-R9)/R9</f>
        <v>5.0907896588936331E-2</v>
      </c>
      <c r="O9" s="97"/>
      <c r="P9" s="239">
        <v>21838</v>
      </c>
      <c r="Q9" s="250">
        <v>525</v>
      </c>
      <c r="R9" s="251">
        <v>21313</v>
      </c>
      <c r="S9" s="251">
        <v>4993</v>
      </c>
      <c r="U9" s="220"/>
      <c r="V9" s="99"/>
      <c r="W9" s="100"/>
    </row>
    <row r="10" spans="1:23" s="95" customFormat="1" ht="12.75" customHeight="1">
      <c r="A10" s="148">
        <v>2</v>
      </c>
      <c r="B10" s="156" t="s">
        <v>167</v>
      </c>
      <c r="C10" s="286">
        <v>43034</v>
      </c>
      <c r="D10" s="212">
        <f t="shared" ref="D10:D57" si="3">C10/$C$58</f>
        <v>2.8461282563248213E-2</v>
      </c>
      <c r="E10" s="265">
        <v>90795</v>
      </c>
      <c r="F10" s="212">
        <f t="shared" ref="F10:F57" si="4">E10/$E$58</f>
        <v>2.2568681048944668E-2</v>
      </c>
      <c r="G10" s="213">
        <f t="shared" ref="G10:G57" si="5">C10+E10</f>
        <v>133829</v>
      </c>
      <c r="H10" s="214">
        <f t="shared" ref="H10:H57" si="6">G10/$G$58</f>
        <v>2.4178366604806587E-2</v>
      </c>
      <c r="I10" s="98">
        <f t="shared" ref="I10:I35" si="7">ROUND(H10*$E$5,0)</f>
        <v>16160</v>
      </c>
      <c r="J10" s="215">
        <f t="shared" si="0"/>
        <v>540</v>
      </c>
      <c r="K10" s="169">
        <f t="shared" si="1"/>
        <v>15620</v>
      </c>
      <c r="L10" s="143">
        <f t="shared" ref="L10:L35" si="8">ROUND(H10*$F$5,0)</f>
        <v>4270</v>
      </c>
      <c r="M10" s="101">
        <f t="shared" si="2"/>
        <v>2</v>
      </c>
      <c r="N10" s="221">
        <f>(K10-R10)/R10</f>
        <v>1.2805736970162632E-4</v>
      </c>
      <c r="O10" s="97"/>
      <c r="P10" s="240">
        <v>16143</v>
      </c>
      <c r="Q10" s="250">
        <v>525</v>
      </c>
      <c r="R10" s="241">
        <v>15618</v>
      </c>
      <c r="S10" s="241">
        <v>3691</v>
      </c>
      <c r="U10" s="220"/>
      <c r="V10" s="99"/>
      <c r="W10" s="100"/>
    </row>
    <row r="11" spans="1:23" s="95" customFormat="1">
      <c r="A11" s="148">
        <v>3</v>
      </c>
      <c r="B11" s="156" t="s">
        <v>208</v>
      </c>
      <c r="C11" s="286">
        <v>14867</v>
      </c>
      <c r="D11" s="212">
        <f t="shared" si="3"/>
        <v>9.8325484005161307E-3</v>
      </c>
      <c r="E11" s="265">
        <v>25670</v>
      </c>
      <c r="F11" s="212">
        <f t="shared" si="4"/>
        <v>6.3807262792709915E-3</v>
      </c>
      <c r="G11" s="213">
        <f t="shared" si="5"/>
        <v>40537</v>
      </c>
      <c r="H11" s="214">
        <f t="shared" si="6"/>
        <v>7.323662637089454E-3</v>
      </c>
      <c r="I11" s="98">
        <f t="shared" si="7"/>
        <v>4895</v>
      </c>
      <c r="J11" s="215">
        <f t="shared" si="0"/>
        <v>540</v>
      </c>
      <c r="K11" s="169">
        <f t="shared" si="1"/>
        <v>4355</v>
      </c>
      <c r="L11" s="143">
        <f t="shared" si="8"/>
        <v>1293</v>
      </c>
      <c r="M11" s="101">
        <f t="shared" si="2"/>
        <v>0</v>
      </c>
      <c r="N11" s="221">
        <f>(K11-R11)/R11</f>
        <v>0</v>
      </c>
      <c r="O11" s="97"/>
      <c r="P11" s="240">
        <v>4880</v>
      </c>
      <c r="Q11" s="250">
        <v>525</v>
      </c>
      <c r="R11" s="241">
        <v>4355</v>
      </c>
      <c r="S11" s="241">
        <v>1116</v>
      </c>
      <c r="U11" s="220"/>
      <c r="V11" s="99"/>
      <c r="W11" s="100"/>
    </row>
    <row r="12" spans="1:23" s="95" customFormat="1">
      <c r="A12" s="148">
        <v>4</v>
      </c>
      <c r="B12" s="156" t="s">
        <v>168</v>
      </c>
      <c r="C12" s="286">
        <v>32927</v>
      </c>
      <c r="D12" s="212">
        <f t="shared" si="3"/>
        <v>2.1776842751314633E-2</v>
      </c>
      <c r="E12" s="265">
        <v>56759</v>
      </c>
      <c r="F12" s="212">
        <f t="shared" si="4"/>
        <v>1.4108439535845041E-2</v>
      </c>
      <c r="G12" s="213">
        <f t="shared" si="5"/>
        <v>89686</v>
      </c>
      <c r="H12" s="214">
        <f t="shared" si="6"/>
        <v>1.6203221927375108E-2</v>
      </c>
      <c r="I12" s="98">
        <f t="shared" si="7"/>
        <v>10830</v>
      </c>
      <c r="J12" s="215">
        <f t="shared" si="0"/>
        <v>540</v>
      </c>
      <c r="K12" s="169">
        <f t="shared" si="1"/>
        <v>10290</v>
      </c>
      <c r="L12" s="143">
        <f t="shared" si="8"/>
        <v>2861</v>
      </c>
      <c r="M12" s="101">
        <f t="shared" si="2"/>
        <v>-12</v>
      </c>
      <c r="N12" s="221">
        <f>(K12-R12)/R12</f>
        <v>-1.1648223645894002E-3</v>
      </c>
      <c r="O12" s="97"/>
      <c r="P12" s="240">
        <v>10827</v>
      </c>
      <c r="Q12" s="250">
        <v>525</v>
      </c>
      <c r="R12" s="241">
        <v>10302</v>
      </c>
      <c r="S12" s="241">
        <v>2476</v>
      </c>
      <c r="U12" s="220"/>
      <c r="V12" s="99"/>
      <c r="W12" s="100"/>
    </row>
    <row r="13" spans="1:23" s="95" customFormat="1">
      <c r="A13" s="148">
        <v>5</v>
      </c>
      <c r="B13" s="95" t="s">
        <v>209</v>
      </c>
      <c r="C13" s="286">
        <v>15264</v>
      </c>
      <c r="D13" s="212">
        <f t="shared" si="3"/>
        <v>1.0095111238681525E-2</v>
      </c>
      <c r="E13" s="265">
        <v>24138</v>
      </c>
      <c r="F13" s="212">
        <f t="shared" si="4"/>
        <v>5.99992095555291E-3</v>
      </c>
      <c r="G13" s="213">
        <f t="shared" si="5"/>
        <v>39402</v>
      </c>
      <c r="H13" s="214">
        <f t="shared" si="6"/>
        <v>7.1186065872313855E-3</v>
      </c>
      <c r="I13" s="98">
        <f t="shared" si="7"/>
        <v>4758</v>
      </c>
      <c r="J13" s="215">
        <f t="shared" si="0"/>
        <v>540</v>
      </c>
      <c r="K13" s="169">
        <f t="shared" si="1"/>
        <v>4218</v>
      </c>
      <c r="L13" s="143">
        <f t="shared" si="8"/>
        <v>1257</v>
      </c>
      <c r="M13" s="101">
        <f t="shared" si="2"/>
        <v>214</v>
      </c>
      <c r="N13" s="221">
        <f>(K13-R13)/R13</f>
        <v>5.3446553446553448E-2</v>
      </c>
      <c r="O13" s="97"/>
      <c r="P13" s="240">
        <v>4529</v>
      </c>
      <c r="Q13" s="250">
        <v>525</v>
      </c>
      <c r="R13" s="241">
        <v>4004</v>
      </c>
      <c r="S13" s="241">
        <v>1036</v>
      </c>
      <c r="U13" s="220"/>
      <c r="V13" s="99"/>
      <c r="W13" s="100"/>
    </row>
    <row r="14" spans="1:23" s="95" customFormat="1">
      <c r="A14" s="148">
        <v>6</v>
      </c>
      <c r="B14" s="156" t="s">
        <v>210</v>
      </c>
      <c r="C14" s="286">
        <v>33132</v>
      </c>
      <c r="D14" s="212">
        <f t="shared" si="3"/>
        <v>2.1912423058175857E-2</v>
      </c>
      <c r="E14" s="265">
        <v>63133</v>
      </c>
      <c r="F14" s="212">
        <f t="shared" si="4"/>
        <v>1.56928084218627E-2</v>
      </c>
      <c r="G14" s="213">
        <f t="shared" si="5"/>
        <v>96265</v>
      </c>
      <c r="H14" s="214">
        <f t="shared" si="6"/>
        <v>1.7391824352059014E-2</v>
      </c>
      <c r="I14" s="98">
        <f t="shared" si="7"/>
        <v>11624</v>
      </c>
      <c r="J14" s="215">
        <f t="shared" si="0"/>
        <v>540</v>
      </c>
      <c r="K14" s="169">
        <f t="shared" si="1"/>
        <v>11084</v>
      </c>
      <c r="L14" s="143">
        <f t="shared" si="8"/>
        <v>3071</v>
      </c>
      <c r="M14" s="101">
        <f t="shared" si="2"/>
        <v>166</v>
      </c>
      <c r="N14" s="221">
        <f t="shared" ref="N14:N25" si="9">(K14-R14)/R14</f>
        <v>1.52042498626122E-2</v>
      </c>
      <c r="O14" s="97"/>
      <c r="P14" s="240">
        <v>11443</v>
      </c>
      <c r="Q14" s="250">
        <v>525</v>
      </c>
      <c r="R14" s="241">
        <v>10918</v>
      </c>
      <c r="S14" s="241">
        <v>2616</v>
      </c>
      <c r="U14" s="220"/>
      <c r="V14" s="99"/>
      <c r="W14" s="100"/>
    </row>
    <row r="15" spans="1:23" s="95" customFormat="1">
      <c r="A15" s="148">
        <v>7</v>
      </c>
      <c r="B15" s="156" t="s">
        <v>211</v>
      </c>
      <c r="C15" s="286">
        <v>23092</v>
      </c>
      <c r="D15" s="212">
        <f t="shared" si="3"/>
        <v>1.5272294858728627E-2</v>
      </c>
      <c r="E15" s="265">
        <v>61230</v>
      </c>
      <c r="F15" s="212">
        <f t="shared" si="4"/>
        <v>1.5219784576539261E-2</v>
      </c>
      <c r="G15" s="213">
        <f t="shared" si="5"/>
        <v>84322</v>
      </c>
      <c r="H15" s="214">
        <f t="shared" si="6"/>
        <v>1.5234128842407109E-2</v>
      </c>
      <c r="I15" s="98">
        <f t="shared" si="7"/>
        <v>10182</v>
      </c>
      <c r="J15" s="215">
        <f t="shared" si="0"/>
        <v>540</v>
      </c>
      <c r="K15" s="169">
        <f t="shared" si="1"/>
        <v>9642</v>
      </c>
      <c r="L15" s="143">
        <f t="shared" si="8"/>
        <v>2690</v>
      </c>
      <c r="M15" s="101">
        <f t="shared" si="2"/>
        <v>523</v>
      </c>
      <c r="N15" s="221">
        <f t="shared" si="9"/>
        <v>5.735277991007786E-2</v>
      </c>
      <c r="O15" s="97"/>
      <c r="P15" s="240">
        <v>9644</v>
      </c>
      <c r="Q15" s="250">
        <v>525</v>
      </c>
      <c r="R15" s="241">
        <v>9119</v>
      </c>
      <c r="S15" s="241">
        <v>2205</v>
      </c>
      <c r="U15" s="220"/>
      <c r="V15" s="99"/>
      <c r="W15" s="100"/>
    </row>
    <row r="16" spans="1:23" s="95" customFormat="1">
      <c r="A16" s="148">
        <v>8</v>
      </c>
      <c r="B16" s="95" t="s">
        <v>212</v>
      </c>
      <c r="C16" s="286">
        <v>12908</v>
      </c>
      <c r="D16" s="212">
        <f t="shared" si="3"/>
        <v>8.5369297608032697E-3</v>
      </c>
      <c r="E16" s="265">
        <v>29851</v>
      </c>
      <c r="F16" s="212">
        <f t="shared" si="4"/>
        <v>7.41998676129795E-3</v>
      </c>
      <c r="G16" s="213">
        <f t="shared" si="5"/>
        <v>42759</v>
      </c>
      <c r="H16" s="214">
        <f t="shared" si="6"/>
        <v>7.7251027628908895E-3</v>
      </c>
      <c r="I16" s="98">
        <f t="shared" si="7"/>
        <v>5163</v>
      </c>
      <c r="J16" s="215">
        <f t="shared" si="0"/>
        <v>540</v>
      </c>
      <c r="K16" s="169">
        <f t="shared" si="1"/>
        <v>4623</v>
      </c>
      <c r="L16" s="143">
        <f t="shared" si="8"/>
        <v>1364</v>
      </c>
      <c r="M16" s="101">
        <f t="shared" si="2"/>
        <v>179</v>
      </c>
      <c r="N16" s="221">
        <f t="shared" si="9"/>
        <v>4.0279027902790282E-2</v>
      </c>
      <c r="O16" s="97"/>
      <c r="P16" s="240">
        <v>4969</v>
      </c>
      <c r="Q16" s="250">
        <v>525</v>
      </c>
      <c r="R16" s="241">
        <v>4444</v>
      </c>
      <c r="S16" s="241">
        <v>1136</v>
      </c>
      <c r="U16" s="220"/>
      <c r="V16" s="99"/>
      <c r="W16" s="100"/>
    </row>
    <row r="17" spans="1:23" s="95" customFormat="1">
      <c r="A17" s="148">
        <v>9</v>
      </c>
      <c r="B17" s="156" t="s">
        <v>213</v>
      </c>
      <c r="C17" s="286">
        <v>18495</v>
      </c>
      <c r="D17" s="212">
        <f t="shared" si="3"/>
        <v>1.2231989148284512E-2</v>
      </c>
      <c r="E17" s="265">
        <v>12447</v>
      </c>
      <c r="F17" s="212">
        <f t="shared" si="4"/>
        <v>3.0939189714875742E-3</v>
      </c>
      <c r="G17" s="213">
        <f t="shared" si="5"/>
        <v>30942</v>
      </c>
      <c r="H17" s="214">
        <f t="shared" si="6"/>
        <v>5.5901711847650762E-3</v>
      </c>
      <c r="I17" s="98">
        <f t="shared" si="7"/>
        <v>3736</v>
      </c>
      <c r="J17" s="215">
        <f t="shared" si="0"/>
        <v>540</v>
      </c>
      <c r="K17" s="169">
        <f t="shared" si="1"/>
        <v>3196</v>
      </c>
      <c r="L17" s="143">
        <f t="shared" si="8"/>
        <v>987</v>
      </c>
      <c r="M17" s="101">
        <f t="shared" si="2"/>
        <v>337</v>
      </c>
      <c r="N17" s="221">
        <f t="shared" si="9"/>
        <v>0.11787338230150403</v>
      </c>
      <c r="O17" s="97"/>
      <c r="P17" s="240">
        <v>3384</v>
      </c>
      <c r="Q17" s="250">
        <v>525</v>
      </c>
      <c r="R17" s="241">
        <v>2859</v>
      </c>
      <c r="S17" s="241">
        <v>774</v>
      </c>
      <c r="U17" s="220"/>
      <c r="V17" s="99"/>
      <c r="W17" s="100"/>
    </row>
    <row r="18" spans="1:23" s="95" customFormat="1">
      <c r="A18" s="148">
        <v>10</v>
      </c>
      <c r="B18" s="156" t="s">
        <v>214</v>
      </c>
      <c r="C18" s="286">
        <v>17844</v>
      </c>
      <c r="D18" s="212">
        <f t="shared" si="3"/>
        <v>1.180143900308131E-2</v>
      </c>
      <c r="E18" s="265">
        <v>27526</v>
      </c>
      <c r="F18" s="212">
        <f t="shared" si="4"/>
        <v>6.8420674547414609E-3</v>
      </c>
      <c r="G18" s="213">
        <f t="shared" si="5"/>
        <v>45370</v>
      </c>
      <c r="H18" s="214">
        <f t="shared" si="6"/>
        <v>8.1968220106260585E-3</v>
      </c>
      <c r="I18" s="98">
        <f t="shared" si="7"/>
        <v>5478</v>
      </c>
      <c r="J18" s="215">
        <f t="shared" si="0"/>
        <v>540</v>
      </c>
      <c r="K18" s="169">
        <f t="shared" si="1"/>
        <v>4938</v>
      </c>
      <c r="L18" s="143">
        <f t="shared" si="8"/>
        <v>1448</v>
      </c>
      <c r="M18" s="101">
        <f t="shared" si="2"/>
        <v>-43</v>
      </c>
      <c r="N18" s="221">
        <f t="shared" si="9"/>
        <v>-8.632804657699257E-3</v>
      </c>
      <c r="O18" s="97"/>
      <c r="P18" s="240">
        <v>5506</v>
      </c>
      <c r="Q18" s="250">
        <v>525</v>
      </c>
      <c r="R18" s="241">
        <v>4981</v>
      </c>
      <c r="S18" s="241">
        <v>1259</v>
      </c>
      <c r="U18" s="220"/>
      <c r="V18" s="99"/>
      <c r="W18" s="100"/>
    </row>
    <row r="19" spans="1:23" s="95" customFormat="1" ht="12.75" customHeight="1">
      <c r="A19" s="148">
        <v>11</v>
      </c>
      <c r="B19" s="156" t="s">
        <v>215</v>
      </c>
      <c r="C19" s="286">
        <v>9942</v>
      </c>
      <c r="D19" s="212">
        <f t="shared" si="3"/>
        <v>6.5753141990940586E-3</v>
      </c>
      <c r="E19" s="265">
        <v>22991</v>
      </c>
      <c r="F19" s="212">
        <f t="shared" si="4"/>
        <v>5.7148140976517091E-3</v>
      </c>
      <c r="G19" s="213">
        <f t="shared" si="5"/>
        <v>32933</v>
      </c>
      <c r="H19" s="214">
        <f t="shared" si="6"/>
        <v>5.9498774361020053E-3</v>
      </c>
      <c r="I19" s="98">
        <f t="shared" si="7"/>
        <v>3977</v>
      </c>
      <c r="J19" s="215">
        <f t="shared" si="0"/>
        <v>540</v>
      </c>
      <c r="K19" s="169">
        <f t="shared" si="1"/>
        <v>3437</v>
      </c>
      <c r="L19" s="143">
        <f t="shared" si="8"/>
        <v>1051</v>
      </c>
      <c r="M19" s="101">
        <f t="shared" si="2"/>
        <v>73</v>
      </c>
      <c r="N19" s="221">
        <f t="shared" si="9"/>
        <v>2.1700356718192627E-2</v>
      </c>
      <c r="O19" s="97"/>
      <c r="P19" s="240">
        <v>3889</v>
      </c>
      <c r="Q19" s="250">
        <v>525</v>
      </c>
      <c r="R19" s="241">
        <v>3364</v>
      </c>
      <c r="S19" s="241">
        <v>889</v>
      </c>
      <c r="U19" s="220"/>
      <c r="V19" s="99"/>
      <c r="W19" s="100"/>
    </row>
    <row r="20" spans="1:23" s="95" customFormat="1" ht="12" customHeight="1">
      <c r="A20" s="148">
        <v>12</v>
      </c>
      <c r="B20" s="95" t="s">
        <v>216</v>
      </c>
      <c r="C20" s="286">
        <v>11340</v>
      </c>
      <c r="D20" s="212">
        <f t="shared" si="3"/>
        <v>7.4999057551525476E-3</v>
      </c>
      <c r="E20" s="265">
        <v>9599</v>
      </c>
      <c r="F20" s="212">
        <f t="shared" si="4"/>
        <v>2.3859988918863359E-3</v>
      </c>
      <c r="G20" s="213">
        <f t="shared" si="5"/>
        <v>20939</v>
      </c>
      <c r="H20" s="214">
        <f t="shared" si="6"/>
        <v>3.7829679541657273E-3</v>
      </c>
      <c r="I20" s="98">
        <f t="shared" si="7"/>
        <v>2528</v>
      </c>
      <c r="J20" s="215">
        <f>IF(AND((I20-$J$2)&lt;800, (I20-$J$2)&lt;1000),I20-800,$J$2)</f>
        <v>540</v>
      </c>
      <c r="K20" s="169">
        <f t="shared" si="1"/>
        <v>1988</v>
      </c>
      <c r="L20" s="143">
        <f t="shared" si="8"/>
        <v>668</v>
      </c>
      <c r="M20" s="101">
        <f t="shared" si="2"/>
        <v>95</v>
      </c>
      <c r="N20" s="221">
        <f t="shared" si="9"/>
        <v>5.0184891706286316E-2</v>
      </c>
      <c r="O20" s="97"/>
      <c r="P20" s="240">
        <v>2418</v>
      </c>
      <c r="Q20" s="250">
        <v>525</v>
      </c>
      <c r="R20" s="241">
        <v>1893</v>
      </c>
      <c r="S20" s="241">
        <v>553</v>
      </c>
      <c r="U20" s="220"/>
      <c r="V20" s="99"/>
      <c r="W20" s="100"/>
    </row>
    <row r="21" spans="1:23" s="95" customFormat="1">
      <c r="A21" s="148">
        <v>13</v>
      </c>
      <c r="B21" s="156" t="s">
        <v>217</v>
      </c>
      <c r="C21" s="286">
        <v>16809</v>
      </c>
      <c r="D21" s="212">
        <f t="shared" si="3"/>
        <v>1.1116923795269769E-2</v>
      </c>
      <c r="E21" s="265">
        <v>38001</v>
      </c>
      <c r="F21" s="212">
        <f t="shared" si="4"/>
        <v>9.4458114272916605E-3</v>
      </c>
      <c r="G21" s="213">
        <f t="shared" si="5"/>
        <v>54810</v>
      </c>
      <c r="H21" s="214">
        <f t="shared" si="6"/>
        <v>9.9023102138508772E-3</v>
      </c>
      <c r="I21" s="98">
        <f t="shared" si="7"/>
        <v>6618</v>
      </c>
      <c r="J21" s="215">
        <f t="shared" ref="J21:J57" si="10">IF(AND((I21-$J$2)&lt;800, (I21-$J$2)&lt;1000),I21-800,$J$2)</f>
        <v>540</v>
      </c>
      <c r="K21" s="169">
        <f t="shared" si="1"/>
        <v>6078</v>
      </c>
      <c r="L21" s="143">
        <f t="shared" si="8"/>
        <v>1749</v>
      </c>
      <c r="M21" s="101">
        <f t="shared" si="2"/>
        <v>196</v>
      </c>
      <c r="N21" s="221">
        <f t="shared" si="9"/>
        <v>3.3321999319959196E-2</v>
      </c>
      <c r="O21" s="97"/>
      <c r="P21" s="240">
        <v>6407</v>
      </c>
      <c r="Q21" s="250">
        <v>525</v>
      </c>
      <c r="R21" s="241">
        <v>5882</v>
      </c>
      <c r="S21" s="241">
        <v>1465</v>
      </c>
      <c r="U21" s="220"/>
      <c r="V21" s="99"/>
      <c r="W21" s="100"/>
    </row>
    <row r="22" spans="1:23" s="95" customFormat="1">
      <c r="A22" s="148">
        <v>14</v>
      </c>
      <c r="B22" s="95" t="s">
        <v>218</v>
      </c>
      <c r="C22" s="286">
        <v>105273</v>
      </c>
      <c r="D22" s="212">
        <f t="shared" si="3"/>
        <v>6.9624125093666153E-2</v>
      </c>
      <c r="E22" s="265">
        <v>267451</v>
      </c>
      <c r="F22" s="212">
        <f t="shared" si="4"/>
        <v>6.647961137971585E-2</v>
      </c>
      <c r="G22" s="213">
        <f t="shared" si="5"/>
        <v>372724</v>
      </c>
      <c r="H22" s="214">
        <f t="shared" si="6"/>
        <v>6.7338600112157532E-2</v>
      </c>
      <c r="I22" s="98">
        <f t="shared" si="7"/>
        <v>45007</v>
      </c>
      <c r="J22" s="215">
        <f t="shared" si="10"/>
        <v>540</v>
      </c>
      <c r="K22" s="169">
        <f t="shared" si="1"/>
        <v>44467</v>
      </c>
      <c r="L22" s="143">
        <f t="shared" si="8"/>
        <v>11892</v>
      </c>
      <c r="M22" s="101">
        <f t="shared" si="2"/>
        <v>-118</v>
      </c>
      <c r="N22" s="221">
        <f t="shared" si="9"/>
        <v>-2.6466300325221487E-3</v>
      </c>
      <c r="O22" s="97"/>
      <c r="P22" s="240">
        <v>45110</v>
      </c>
      <c r="Q22" s="250">
        <v>525</v>
      </c>
      <c r="R22" s="241">
        <v>44585</v>
      </c>
      <c r="S22" s="241">
        <v>10314</v>
      </c>
      <c r="U22" s="220"/>
      <c r="V22" s="99"/>
      <c r="W22" s="100"/>
    </row>
    <row r="23" spans="1:23" s="95" customFormat="1">
      <c r="A23" s="148">
        <v>15</v>
      </c>
      <c r="B23" s="95" t="s">
        <v>219</v>
      </c>
      <c r="C23" s="286">
        <v>19049</v>
      </c>
      <c r="D23" s="212">
        <f t="shared" si="3"/>
        <v>1.2598386660485086E-2</v>
      </c>
      <c r="E23" s="265">
        <v>32985</v>
      </c>
      <c r="F23" s="212">
        <f t="shared" si="4"/>
        <v>8.1989971297917272E-3</v>
      </c>
      <c r="G23" s="213">
        <f t="shared" si="5"/>
        <v>52034</v>
      </c>
      <c r="H23" s="214">
        <f t="shared" si="6"/>
        <v>9.4007810557839178E-3</v>
      </c>
      <c r="I23" s="98">
        <f t="shared" si="7"/>
        <v>6283</v>
      </c>
      <c r="J23" s="215">
        <f t="shared" si="10"/>
        <v>540</v>
      </c>
      <c r="K23" s="169">
        <f t="shared" si="1"/>
        <v>5743</v>
      </c>
      <c r="L23" s="143">
        <f t="shared" si="8"/>
        <v>1660</v>
      </c>
      <c r="M23" s="101">
        <f t="shared" si="2"/>
        <v>729</v>
      </c>
      <c r="N23" s="221">
        <f t="shared" si="9"/>
        <v>0.14539289988033507</v>
      </c>
      <c r="O23" s="97"/>
      <c r="P23" s="240">
        <v>5539</v>
      </c>
      <c r="Q23" s="250">
        <v>525</v>
      </c>
      <c r="R23" s="241">
        <v>5014</v>
      </c>
      <c r="S23" s="241">
        <v>1266</v>
      </c>
      <c r="U23" s="220"/>
      <c r="V23" s="99"/>
      <c r="W23" s="100"/>
    </row>
    <row r="24" spans="1:23" s="95" customFormat="1">
      <c r="A24" s="148">
        <v>16</v>
      </c>
      <c r="B24" s="95" t="s">
        <v>220</v>
      </c>
      <c r="C24" s="286">
        <v>10746</v>
      </c>
      <c r="D24" s="212">
        <f t="shared" si="3"/>
        <v>7.1070535489302714E-3</v>
      </c>
      <c r="E24" s="265">
        <v>27705</v>
      </c>
      <c r="F24" s="212">
        <f t="shared" si="4"/>
        <v>6.8865610271602188E-3</v>
      </c>
      <c r="G24" s="213">
        <f t="shared" si="5"/>
        <v>38451</v>
      </c>
      <c r="H24" s="214">
        <f t="shared" si="6"/>
        <v>6.9467931040463433E-3</v>
      </c>
      <c r="I24" s="98">
        <f t="shared" si="7"/>
        <v>4643</v>
      </c>
      <c r="J24" s="215">
        <f t="shared" si="10"/>
        <v>540</v>
      </c>
      <c r="K24" s="169">
        <f t="shared" si="1"/>
        <v>4103</v>
      </c>
      <c r="L24" s="143">
        <f t="shared" si="8"/>
        <v>1227</v>
      </c>
      <c r="M24" s="101">
        <f t="shared" si="2"/>
        <v>-179</v>
      </c>
      <c r="N24" s="221">
        <f t="shared" si="9"/>
        <v>-4.1802895843063986E-2</v>
      </c>
      <c r="O24" s="97"/>
      <c r="P24" s="240">
        <v>4807</v>
      </c>
      <c r="Q24" s="250">
        <v>525</v>
      </c>
      <c r="R24" s="241">
        <v>4282</v>
      </c>
      <c r="S24" s="241">
        <v>1099</v>
      </c>
      <c r="U24" s="220"/>
      <c r="V24" s="99"/>
      <c r="W24" s="100"/>
    </row>
    <row r="25" spans="1:23" s="95" customFormat="1">
      <c r="A25" s="148">
        <v>17</v>
      </c>
      <c r="B25" s="156" t="s">
        <v>221</v>
      </c>
      <c r="C25" s="286">
        <v>30648</v>
      </c>
      <c r="D25" s="212">
        <f t="shared" si="3"/>
        <v>2.0269586559428156E-2</v>
      </c>
      <c r="E25" s="265">
        <v>60833</v>
      </c>
      <c r="F25" s="212">
        <f t="shared" si="4"/>
        <v>1.5121103301398217E-2</v>
      </c>
      <c r="G25" s="213">
        <f t="shared" si="5"/>
        <v>91481</v>
      </c>
      <c r="H25" s="214">
        <f t="shared" si="6"/>
        <v>1.6527517618560337E-2</v>
      </c>
      <c r="I25" s="98">
        <f t="shared" si="7"/>
        <v>11046</v>
      </c>
      <c r="J25" s="215">
        <f t="shared" si="10"/>
        <v>540</v>
      </c>
      <c r="K25" s="169">
        <f t="shared" si="1"/>
        <v>10506</v>
      </c>
      <c r="L25" s="143">
        <f t="shared" si="8"/>
        <v>2919</v>
      </c>
      <c r="M25" s="101">
        <f t="shared" si="2"/>
        <v>496</v>
      </c>
      <c r="N25" s="221">
        <f t="shared" si="9"/>
        <v>4.955044955044955E-2</v>
      </c>
      <c r="O25" s="97"/>
      <c r="P25" s="240">
        <v>10535</v>
      </c>
      <c r="Q25" s="250">
        <v>525</v>
      </c>
      <c r="R25" s="241">
        <v>10010</v>
      </c>
      <c r="S25" s="241">
        <v>2409</v>
      </c>
      <c r="U25" s="220"/>
      <c r="V25" s="99"/>
      <c r="W25" s="100"/>
    </row>
    <row r="26" spans="1:23" s="95" customFormat="1">
      <c r="A26" s="148">
        <v>18</v>
      </c>
      <c r="B26" s="95" t="s">
        <v>222</v>
      </c>
      <c r="C26" s="286">
        <v>9397</v>
      </c>
      <c r="D26" s="212">
        <f t="shared" si="3"/>
        <v>6.2148689930483676E-3</v>
      </c>
      <c r="E26" s="265">
        <v>12434</v>
      </c>
      <c r="F26" s="212">
        <f t="shared" si="4"/>
        <v>3.0906875947197313E-3</v>
      </c>
      <c r="G26" s="213">
        <f t="shared" si="5"/>
        <v>21831</v>
      </c>
      <c r="H26" s="214">
        <f t="shared" si="6"/>
        <v>3.9441221360806151E-3</v>
      </c>
      <c r="I26" s="98">
        <f t="shared" si="7"/>
        <v>2636</v>
      </c>
      <c r="J26" s="215">
        <f t="shared" si="10"/>
        <v>540</v>
      </c>
      <c r="K26" s="169">
        <f t="shared" si="1"/>
        <v>2096</v>
      </c>
      <c r="L26" s="143">
        <f t="shared" si="8"/>
        <v>697</v>
      </c>
      <c r="M26" s="101">
        <f t="shared" si="2"/>
        <v>555</v>
      </c>
      <c r="N26" s="221">
        <f t="shared" ref="N26:N36" si="11">(K26-R26)/R26</f>
        <v>0.36015574302401038</v>
      </c>
      <c r="O26" s="97"/>
      <c r="P26" s="240">
        <v>2066</v>
      </c>
      <c r="Q26" s="250">
        <v>525</v>
      </c>
      <c r="R26" s="241">
        <v>1541</v>
      </c>
      <c r="S26" s="241">
        <v>472</v>
      </c>
      <c r="U26" s="220"/>
      <c r="V26" s="99"/>
      <c r="W26" s="100"/>
    </row>
    <row r="27" spans="1:23" s="95" customFormat="1">
      <c r="A27" s="148">
        <v>19</v>
      </c>
      <c r="B27" s="95" t="s">
        <v>223</v>
      </c>
      <c r="C27" s="286">
        <v>12408</v>
      </c>
      <c r="D27" s="212">
        <f t="shared" si="3"/>
        <v>8.2062460855319933E-3</v>
      </c>
      <c r="E27" s="265">
        <v>14388</v>
      </c>
      <c r="F27" s="212">
        <f t="shared" si="4"/>
        <v>3.5763883796708618E-3</v>
      </c>
      <c r="G27" s="213">
        <f t="shared" si="5"/>
        <v>26796</v>
      </c>
      <c r="H27" s="214">
        <f t="shared" si="6"/>
        <v>4.8411294378826507E-3</v>
      </c>
      <c r="I27" s="98">
        <f t="shared" si="7"/>
        <v>3236</v>
      </c>
      <c r="J27" s="215">
        <f t="shared" si="10"/>
        <v>540</v>
      </c>
      <c r="K27" s="169">
        <f t="shared" si="1"/>
        <v>2696</v>
      </c>
      <c r="L27" s="143">
        <f t="shared" si="8"/>
        <v>855</v>
      </c>
      <c r="M27" s="101">
        <f t="shared" si="2"/>
        <v>204</v>
      </c>
      <c r="N27" s="221">
        <f t="shared" si="11"/>
        <v>8.186195826645265E-2</v>
      </c>
      <c r="O27" s="97"/>
      <c r="P27" s="240">
        <v>3017</v>
      </c>
      <c r="Q27" s="250">
        <v>525</v>
      </c>
      <c r="R27" s="241">
        <v>2492</v>
      </c>
      <c r="S27" s="241">
        <v>690</v>
      </c>
      <c r="U27" s="220"/>
      <c r="V27" s="99"/>
      <c r="W27" s="100"/>
    </row>
    <row r="28" spans="1:23" s="95" customFormat="1" ht="12" customHeight="1">
      <c r="A28" s="148">
        <v>20</v>
      </c>
      <c r="B28" s="95" t="s">
        <v>172</v>
      </c>
      <c r="C28" s="286">
        <v>211472</v>
      </c>
      <c r="D28" s="212">
        <f t="shared" si="3"/>
        <v>0.1398606763539347</v>
      </c>
      <c r="E28" s="265">
        <v>809272</v>
      </c>
      <c r="F28" s="212">
        <f t="shared" si="4"/>
        <v>0.20115867228197093</v>
      </c>
      <c r="G28" s="213">
        <f t="shared" si="5"/>
        <v>1020744</v>
      </c>
      <c r="H28" s="214">
        <f t="shared" si="6"/>
        <v>0.18441386128310527</v>
      </c>
      <c r="I28" s="98">
        <f t="shared" si="7"/>
        <v>123255</v>
      </c>
      <c r="J28" s="215">
        <f t="shared" si="10"/>
        <v>540</v>
      </c>
      <c r="K28" s="169">
        <f t="shared" si="1"/>
        <v>122715</v>
      </c>
      <c r="L28" s="143">
        <f t="shared" si="8"/>
        <v>32567</v>
      </c>
      <c r="M28" s="101">
        <f t="shared" si="2"/>
        <v>-945</v>
      </c>
      <c r="N28" s="221">
        <f t="shared" si="11"/>
        <v>-7.6419213973799123E-3</v>
      </c>
      <c r="O28" s="97"/>
      <c r="P28" s="240">
        <v>124185</v>
      </c>
      <c r="Q28" s="250">
        <v>525</v>
      </c>
      <c r="R28" s="241">
        <v>123660</v>
      </c>
      <c r="S28" s="241">
        <v>28395</v>
      </c>
      <c r="U28" s="220"/>
      <c r="V28" s="99"/>
      <c r="W28" s="100"/>
    </row>
    <row r="29" spans="1:23" s="95" customFormat="1">
      <c r="A29" s="148">
        <v>21</v>
      </c>
      <c r="B29" s="95" t="s">
        <v>224</v>
      </c>
      <c r="C29" s="286">
        <v>26038</v>
      </c>
      <c r="D29" s="212">
        <f t="shared" si="3"/>
        <v>1.7220683073426987E-2</v>
      </c>
      <c r="E29" s="265">
        <v>70602</v>
      </c>
      <c r="F29" s="212">
        <f t="shared" si="4"/>
        <v>1.7549358658710188E-2</v>
      </c>
      <c r="G29" s="213">
        <f t="shared" si="5"/>
        <v>96640</v>
      </c>
      <c r="H29" s="214">
        <f t="shared" si="6"/>
        <v>1.7459574148267629E-2</v>
      </c>
      <c r="I29" s="98">
        <f t="shared" si="7"/>
        <v>11669</v>
      </c>
      <c r="J29" s="215">
        <f t="shared" si="10"/>
        <v>540</v>
      </c>
      <c r="K29" s="169">
        <f t="shared" si="1"/>
        <v>11129</v>
      </c>
      <c r="L29" s="143">
        <f t="shared" si="8"/>
        <v>3083</v>
      </c>
      <c r="M29" s="101">
        <f t="shared" si="2"/>
        <v>-123</v>
      </c>
      <c r="N29" s="221">
        <f t="shared" si="11"/>
        <v>-1.0931389975115535E-2</v>
      </c>
      <c r="O29" s="97"/>
      <c r="P29" s="240">
        <v>11777</v>
      </c>
      <c r="Q29" s="250">
        <v>525</v>
      </c>
      <c r="R29" s="241">
        <v>11252</v>
      </c>
      <c r="S29" s="241">
        <v>2693</v>
      </c>
      <c r="U29" s="220"/>
      <c r="V29" s="99"/>
      <c r="W29" s="100"/>
    </row>
    <row r="30" spans="1:23" s="95" customFormat="1">
      <c r="A30" s="148">
        <v>22</v>
      </c>
      <c r="B30" s="95" t="s">
        <v>225</v>
      </c>
      <c r="C30" s="286">
        <v>8644</v>
      </c>
      <c r="D30" s="212">
        <f t="shared" si="3"/>
        <v>5.7168593780898254E-3</v>
      </c>
      <c r="E30" s="265">
        <v>12406</v>
      </c>
      <c r="F30" s="212">
        <f t="shared" si="4"/>
        <v>3.0837277062966857E-3</v>
      </c>
      <c r="G30" s="213">
        <f t="shared" si="5"/>
        <v>21050</v>
      </c>
      <c r="H30" s="214">
        <f t="shared" si="6"/>
        <v>3.8030218938434768E-3</v>
      </c>
      <c r="I30" s="98">
        <f t="shared" si="7"/>
        <v>2542</v>
      </c>
      <c r="J30" s="215">
        <f t="shared" si="10"/>
        <v>540</v>
      </c>
      <c r="K30" s="169">
        <f t="shared" si="1"/>
        <v>2002</v>
      </c>
      <c r="L30" s="143">
        <f t="shared" si="8"/>
        <v>672</v>
      </c>
      <c r="M30" s="101">
        <f t="shared" si="2"/>
        <v>-545</v>
      </c>
      <c r="N30" s="221">
        <f t="shared" si="11"/>
        <v>-0.21397722811150374</v>
      </c>
      <c r="O30" s="97"/>
      <c r="P30" s="240">
        <v>3072</v>
      </c>
      <c r="Q30" s="250">
        <v>525</v>
      </c>
      <c r="R30" s="241">
        <v>2547</v>
      </c>
      <c r="S30" s="241">
        <v>702</v>
      </c>
      <c r="U30" s="220"/>
      <c r="V30" s="99"/>
      <c r="W30" s="100"/>
    </row>
    <row r="31" spans="1:23" s="95" customFormat="1">
      <c r="A31" s="148">
        <v>23</v>
      </c>
      <c r="B31" s="95" t="s">
        <v>226</v>
      </c>
      <c r="C31" s="286">
        <v>19974</v>
      </c>
      <c r="D31" s="212">
        <f t="shared" si="3"/>
        <v>1.3210151459736948E-2</v>
      </c>
      <c r="E31" s="265">
        <v>27195</v>
      </c>
      <c r="F31" s="212">
        <f t="shared" si="4"/>
        <v>6.759791630883312E-3</v>
      </c>
      <c r="G31" s="213">
        <f t="shared" si="5"/>
        <v>47169</v>
      </c>
      <c r="H31" s="214">
        <f t="shared" si="6"/>
        <v>8.521840366304179E-3</v>
      </c>
      <c r="I31" s="98">
        <f t="shared" si="7"/>
        <v>5696</v>
      </c>
      <c r="J31" s="215">
        <f t="shared" si="10"/>
        <v>540</v>
      </c>
      <c r="K31" s="169">
        <f t="shared" si="1"/>
        <v>5156</v>
      </c>
      <c r="L31" s="143">
        <f t="shared" si="8"/>
        <v>1505</v>
      </c>
      <c r="M31" s="101">
        <f t="shared" si="2"/>
        <v>84</v>
      </c>
      <c r="N31" s="221">
        <f t="shared" si="11"/>
        <v>1.6561514195583597E-2</v>
      </c>
      <c r="O31" s="97"/>
      <c r="P31" s="240">
        <v>5597</v>
      </c>
      <c r="Q31" s="250">
        <v>525</v>
      </c>
      <c r="R31" s="241">
        <v>5072</v>
      </c>
      <c r="S31" s="241">
        <v>1280</v>
      </c>
      <c r="U31" s="220"/>
      <c r="V31" s="99"/>
      <c r="W31" s="100"/>
    </row>
    <row r="32" spans="1:23" s="95" customFormat="1">
      <c r="A32" s="148">
        <v>24</v>
      </c>
      <c r="B32" s="95" t="s">
        <v>227</v>
      </c>
      <c r="C32" s="286">
        <v>19295</v>
      </c>
      <c r="D32" s="212">
        <f t="shared" si="3"/>
        <v>1.2761083028718555E-2</v>
      </c>
      <c r="E32" s="265">
        <v>44852</v>
      </c>
      <c r="F32" s="212">
        <f t="shared" si="4"/>
        <v>1.1148746983944781E-2</v>
      </c>
      <c r="G32" s="213">
        <f t="shared" si="5"/>
        <v>64147</v>
      </c>
      <c r="H32" s="214">
        <f t="shared" si="6"/>
        <v>1.1589189806383729E-2</v>
      </c>
      <c r="I32" s="98">
        <f t="shared" si="7"/>
        <v>7746</v>
      </c>
      <c r="J32" s="215">
        <f t="shared" si="10"/>
        <v>540</v>
      </c>
      <c r="K32" s="169">
        <f t="shared" si="1"/>
        <v>7206</v>
      </c>
      <c r="L32" s="143">
        <f t="shared" si="8"/>
        <v>2047</v>
      </c>
      <c r="M32" s="101">
        <f t="shared" si="2"/>
        <v>-59</v>
      </c>
      <c r="N32" s="221">
        <f t="shared" si="11"/>
        <v>-8.1211286992429448E-3</v>
      </c>
      <c r="O32" s="97"/>
      <c r="P32" s="240">
        <v>7790</v>
      </c>
      <c r="Q32" s="250">
        <v>525</v>
      </c>
      <c r="R32" s="241">
        <v>7265</v>
      </c>
      <c r="S32" s="241">
        <v>1781</v>
      </c>
      <c r="U32" s="220"/>
      <c r="V32" s="99"/>
      <c r="W32" s="100"/>
    </row>
    <row r="33" spans="1:23" s="95" customFormat="1">
      <c r="A33" s="148">
        <v>25</v>
      </c>
      <c r="B33" s="95" t="s">
        <v>176</v>
      </c>
      <c r="C33" s="286">
        <v>8376</v>
      </c>
      <c r="D33" s="212">
        <f t="shared" si="3"/>
        <v>5.5396129281444217E-3</v>
      </c>
      <c r="E33" s="265">
        <v>24735</v>
      </c>
      <c r="F33" s="212">
        <f t="shared" si="4"/>
        <v>6.1483157194299953E-3</v>
      </c>
      <c r="G33" s="213">
        <f t="shared" si="5"/>
        <v>33111</v>
      </c>
      <c r="H33" s="214">
        <f t="shared" si="6"/>
        <v>5.9820360060356941E-3</v>
      </c>
      <c r="I33" s="98">
        <f t="shared" si="7"/>
        <v>3998</v>
      </c>
      <c r="J33" s="215">
        <f t="shared" si="10"/>
        <v>540</v>
      </c>
      <c r="K33" s="169">
        <f t="shared" si="1"/>
        <v>3458</v>
      </c>
      <c r="L33" s="143">
        <f t="shared" si="8"/>
        <v>1056</v>
      </c>
      <c r="M33" s="101">
        <f t="shared" si="2"/>
        <v>34</v>
      </c>
      <c r="N33" s="221">
        <f t="shared" si="11"/>
        <v>9.9299065420560741E-3</v>
      </c>
      <c r="O33" s="97"/>
      <c r="P33" s="240">
        <v>3949</v>
      </c>
      <c r="Q33" s="250">
        <v>525</v>
      </c>
      <c r="R33" s="241">
        <v>3424</v>
      </c>
      <c r="S33" s="241">
        <v>903</v>
      </c>
      <c r="U33" s="220"/>
      <c r="V33" s="99"/>
      <c r="W33" s="100"/>
    </row>
    <row r="34" spans="1:23" s="95" customFormat="1">
      <c r="A34" s="148">
        <v>26</v>
      </c>
      <c r="B34" s="156" t="s">
        <v>228</v>
      </c>
      <c r="C34" s="286">
        <v>32143</v>
      </c>
      <c r="D34" s="212">
        <f t="shared" si="3"/>
        <v>2.1258330748489273E-2</v>
      </c>
      <c r="E34" s="265">
        <v>54060</v>
      </c>
      <c r="F34" s="212">
        <f t="shared" si="4"/>
        <v>1.3437556005352154E-2</v>
      </c>
      <c r="G34" s="213">
        <f t="shared" si="5"/>
        <v>86203</v>
      </c>
      <c r="H34" s="214">
        <f t="shared" si="6"/>
        <v>1.5573961820189511E-2</v>
      </c>
      <c r="I34" s="98">
        <f t="shared" si="7"/>
        <v>10409</v>
      </c>
      <c r="J34" s="215">
        <f t="shared" si="10"/>
        <v>540</v>
      </c>
      <c r="K34" s="169">
        <f t="shared" si="1"/>
        <v>9869</v>
      </c>
      <c r="L34" s="143">
        <f t="shared" si="8"/>
        <v>2750</v>
      </c>
      <c r="M34" s="101">
        <f t="shared" si="2"/>
        <v>18</v>
      </c>
      <c r="N34" s="221">
        <f t="shared" si="11"/>
        <v>1.8272256623693027E-3</v>
      </c>
      <c r="O34" s="97"/>
      <c r="P34" s="240">
        <v>10376</v>
      </c>
      <c r="Q34" s="250">
        <v>525</v>
      </c>
      <c r="R34" s="241">
        <v>9851</v>
      </c>
      <c r="S34" s="241">
        <v>2373</v>
      </c>
      <c r="U34" s="220"/>
      <c r="V34" s="99"/>
      <c r="W34" s="100"/>
    </row>
    <row r="35" spans="1:23" s="95" customFormat="1">
      <c r="A35" s="148">
        <v>27</v>
      </c>
      <c r="B35" s="95" t="s">
        <v>177</v>
      </c>
      <c r="C35" s="286">
        <v>65542</v>
      </c>
      <c r="D35" s="212">
        <f t="shared" si="3"/>
        <v>4.3347338889259991E-2</v>
      </c>
      <c r="E35" s="265">
        <v>247918</v>
      </c>
      <c r="F35" s="212">
        <f t="shared" si="4"/>
        <v>6.1624343502310309E-2</v>
      </c>
      <c r="G35" s="213">
        <f t="shared" si="5"/>
        <v>313460</v>
      </c>
      <c r="H35" s="214">
        <f t="shared" si="6"/>
        <v>5.6631602985471555E-2</v>
      </c>
      <c r="I35" s="98">
        <f t="shared" si="7"/>
        <v>37850</v>
      </c>
      <c r="J35" s="215">
        <f t="shared" si="10"/>
        <v>540</v>
      </c>
      <c r="K35" s="169">
        <f t="shared" si="1"/>
        <v>37310</v>
      </c>
      <c r="L35" s="143">
        <f t="shared" si="8"/>
        <v>10001</v>
      </c>
      <c r="M35" s="101">
        <f t="shared" si="2"/>
        <v>798</v>
      </c>
      <c r="N35" s="221">
        <f t="shared" si="11"/>
        <v>2.1855828220858894E-2</v>
      </c>
      <c r="O35" s="97"/>
      <c r="P35" s="240">
        <v>37037</v>
      </c>
      <c r="Q35" s="250">
        <v>525</v>
      </c>
      <c r="R35" s="241">
        <v>36512</v>
      </c>
      <c r="S35" s="241">
        <v>8468</v>
      </c>
      <c r="U35" s="220"/>
      <c r="V35" s="99"/>
      <c r="W35" s="100"/>
    </row>
    <row r="36" spans="1:23" s="95" customFormat="1">
      <c r="A36" s="148">
        <v>28</v>
      </c>
      <c r="B36" s="156" t="s">
        <v>229</v>
      </c>
      <c r="C36" s="286">
        <v>40587</v>
      </c>
      <c r="D36" s="212">
        <f t="shared" si="3"/>
        <v>2.6842916656470588E-2</v>
      </c>
      <c r="E36" s="265">
        <v>106631</v>
      </c>
      <c r="F36" s="212">
        <f t="shared" si="4"/>
        <v>2.6504995087064477E-2</v>
      </c>
      <c r="G36" s="213">
        <f t="shared" si="5"/>
        <v>147218</v>
      </c>
      <c r="H36" s="214">
        <f t="shared" si="6"/>
        <v>2.6597305328638906E-2</v>
      </c>
      <c r="I36" s="98">
        <f t="shared" ref="I36:I57" si="12">ROUND(H36*$E$5,0)</f>
        <v>17777</v>
      </c>
      <c r="J36" s="215">
        <f t="shared" si="10"/>
        <v>540</v>
      </c>
      <c r="K36" s="169">
        <f t="shared" si="1"/>
        <v>17237</v>
      </c>
      <c r="L36" s="143">
        <f t="shared" ref="L36:L57" si="13">ROUND(H36*$F$5,0)</f>
        <v>4697</v>
      </c>
      <c r="M36" s="101">
        <f t="shared" si="2"/>
        <v>813</v>
      </c>
      <c r="N36" s="221">
        <f t="shared" si="11"/>
        <v>4.9500730638090601E-2</v>
      </c>
      <c r="O36" s="97"/>
      <c r="P36" s="240">
        <v>16949</v>
      </c>
      <c r="Q36" s="250">
        <v>525</v>
      </c>
      <c r="R36" s="241">
        <v>16424</v>
      </c>
      <c r="S36" s="241">
        <v>3875</v>
      </c>
      <c r="U36" s="220"/>
      <c r="V36" s="99"/>
      <c r="W36" s="100"/>
    </row>
    <row r="37" spans="1:23" s="95" customFormat="1">
      <c r="A37" s="148">
        <v>29</v>
      </c>
      <c r="B37" s="95" t="s">
        <v>230</v>
      </c>
      <c r="C37" s="286">
        <v>14855</v>
      </c>
      <c r="D37" s="212">
        <f t="shared" si="3"/>
        <v>9.8246119923096203E-3</v>
      </c>
      <c r="E37" s="265">
        <v>27000</v>
      </c>
      <c r="F37" s="212">
        <f t="shared" si="4"/>
        <v>6.7113209793656708E-3</v>
      </c>
      <c r="G37" s="213">
        <f t="shared" si="5"/>
        <v>41855</v>
      </c>
      <c r="H37" s="214">
        <f t="shared" si="6"/>
        <v>7.5617805874973265E-3</v>
      </c>
      <c r="I37" s="98">
        <f t="shared" si="12"/>
        <v>5054</v>
      </c>
      <c r="J37" s="215">
        <f t="shared" si="10"/>
        <v>540</v>
      </c>
      <c r="K37" s="169">
        <f t="shared" si="1"/>
        <v>4514</v>
      </c>
      <c r="L37" s="143">
        <f t="shared" si="13"/>
        <v>1335</v>
      </c>
      <c r="M37" s="101">
        <f t="shared" si="2"/>
        <v>-1104</v>
      </c>
      <c r="N37" s="221">
        <f t="shared" ref="N37:N58" si="14">(K37-R37)/R37</f>
        <v>-0.19651121395514418</v>
      </c>
      <c r="O37" s="97"/>
      <c r="P37" s="240">
        <v>6143</v>
      </c>
      <c r="Q37" s="250">
        <v>525</v>
      </c>
      <c r="R37" s="241">
        <v>5618</v>
      </c>
      <c r="S37" s="241">
        <v>1405</v>
      </c>
      <c r="U37" s="220"/>
      <c r="V37" s="99"/>
      <c r="W37" s="100"/>
    </row>
    <row r="38" spans="1:23" s="95" customFormat="1">
      <c r="A38" s="148">
        <v>30</v>
      </c>
      <c r="B38" s="95" t="s">
        <v>179</v>
      </c>
      <c r="C38" s="286">
        <v>49142</v>
      </c>
      <c r="D38" s="212">
        <f t="shared" si="3"/>
        <v>3.2500914340362126E-2</v>
      </c>
      <c r="E38" s="265">
        <v>307714</v>
      </c>
      <c r="F38" s="212">
        <f t="shared" si="4"/>
        <v>7.6487682364612147E-2</v>
      </c>
      <c r="G38" s="213">
        <f t="shared" si="5"/>
        <v>356856</v>
      </c>
      <c r="H38" s="214">
        <f t="shared" si="6"/>
        <v>6.4471790068855478E-2</v>
      </c>
      <c r="I38" s="98">
        <f t="shared" si="12"/>
        <v>43091</v>
      </c>
      <c r="J38" s="215">
        <f t="shared" si="10"/>
        <v>540</v>
      </c>
      <c r="K38" s="169">
        <f t="shared" si="1"/>
        <v>42551</v>
      </c>
      <c r="L38" s="143">
        <f t="shared" si="13"/>
        <v>11386</v>
      </c>
      <c r="M38" s="101">
        <f t="shared" si="2"/>
        <v>501</v>
      </c>
      <c r="N38" s="221">
        <f t="shared" si="14"/>
        <v>1.1914387633769322E-2</v>
      </c>
      <c r="O38" s="97"/>
      <c r="P38" s="240">
        <v>42575</v>
      </c>
      <c r="Q38" s="250">
        <v>525</v>
      </c>
      <c r="R38" s="241">
        <v>42050</v>
      </c>
      <c r="S38" s="241">
        <v>9735</v>
      </c>
      <c r="U38" s="220"/>
      <c r="V38" s="99"/>
      <c r="W38" s="100"/>
    </row>
    <row r="39" spans="1:23" s="95" customFormat="1">
      <c r="A39" s="148">
        <v>31</v>
      </c>
      <c r="B39" s="95" t="s">
        <v>231</v>
      </c>
      <c r="C39" s="286">
        <v>16816</v>
      </c>
      <c r="D39" s="212">
        <f t="shared" si="3"/>
        <v>1.1121553366723566E-2</v>
      </c>
      <c r="E39" s="265">
        <v>34495</v>
      </c>
      <c r="F39" s="212">
        <f t="shared" si="4"/>
        <v>8.5743339697488454E-3</v>
      </c>
      <c r="G39" s="213">
        <f t="shared" si="5"/>
        <v>51311</v>
      </c>
      <c r="H39" s="214">
        <f t="shared" si="6"/>
        <v>9.2701594486937124E-3</v>
      </c>
      <c r="I39" s="98">
        <f t="shared" si="12"/>
        <v>6196</v>
      </c>
      <c r="J39" s="215">
        <f t="shared" si="10"/>
        <v>540</v>
      </c>
      <c r="K39" s="169">
        <f t="shared" si="1"/>
        <v>5656</v>
      </c>
      <c r="L39" s="143">
        <f t="shared" si="13"/>
        <v>1637</v>
      </c>
      <c r="M39" s="101">
        <f t="shared" si="2"/>
        <v>236</v>
      </c>
      <c r="N39" s="221">
        <f t="shared" si="14"/>
        <v>4.3542435424354244E-2</v>
      </c>
      <c r="O39" s="97"/>
      <c r="P39" s="240">
        <v>5945</v>
      </c>
      <c r="Q39" s="250">
        <v>525</v>
      </c>
      <c r="R39" s="241">
        <v>5420</v>
      </c>
      <c r="S39" s="241">
        <v>1359</v>
      </c>
      <c r="U39" s="220"/>
      <c r="V39" s="99"/>
      <c r="W39" s="100"/>
    </row>
    <row r="40" spans="1:23" s="95" customFormat="1">
      <c r="A40" s="148">
        <v>32</v>
      </c>
      <c r="B40" s="95" t="s">
        <v>180</v>
      </c>
      <c r="C40" s="286">
        <v>54747</v>
      </c>
      <c r="D40" s="212">
        <f t="shared" si="3"/>
        <v>3.6207878340153134E-2</v>
      </c>
      <c r="E40" s="265">
        <v>197746</v>
      </c>
      <c r="F40" s="212">
        <f t="shared" si="4"/>
        <v>4.9153217717986815E-2</v>
      </c>
      <c r="G40" s="213">
        <f t="shared" si="5"/>
        <v>252493</v>
      </c>
      <c r="H40" s="214">
        <f t="shared" si="6"/>
        <v>4.5616931450936864E-2</v>
      </c>
      <c r="I40" s="98">
        <f t="shared" si="12"/>
        <v>30489</v>
      </c>
      <c r="J40" s="215">
        <f t="shared" si="10"/>
        <v>540</v>
      </c>
      <c r="K40" s="169">
        <f t="shared" si="1"/>
        <v>29949</v>
      </c>
      <c r="L40" s="143">
        <f t="shared" si="13"/>
        <v>8056</v>
      </c>
      <c r="M40" s="101">
        <f t="shared" si="2"/>
        <v>1670</v>
      </c>
      <c r="N40" s="221">
        <f t="shared" si="14"/>
        <v>5.9054422009264827E-2</v>
      </c>
      <c r="O40" s="97"/>
      <c r="P40" s="240">
        <v>28804</v>
      </c>
      <c r="Q40" s="250">
        <v>525</v>
      </c>
      <c r="R40" s="241">
        <v>28279</v>
      </c>
      <c r="S40" s="241">
        <v>6586</v>
      </c>
      <c r="U40" s="220"/>
      <c r="V40" s="99"/>
      <c r="W40" s="100"/>
    </row>
    <row r="41" spans="1:23" s="95" customFormat="1">
      <c r="A41" s="148">
        <v>33</v>
      </c>
      <c r="B41" s="156" t="s">
        <v>232</v>
      </c>
      <c r="C41" s="286">
        <v>17773</v>
      </c>
      <c r="D41" s="212">
        <f t="shared" si="3"/>
        <v>1.1754481921192789E-2</v>
      </c>
      <c r="E41" s="265">
        <v>9076</v>
      </c>
      <c r="F41" s="212">
        <f t="shared" si="4"/>
        <v>2.2559981188415863E-3</v>
      </c>
      <c r="G41" s="213">
        <f t="shared" si="5"/>
        <v>26849</v>
      </c>
      <c r="H41" s="214">
        <f t="shared" si="6"/>
        <v>4.8507047424134683E-3</v>
      </c>
      <c r="I41" s="98">
        <f t="shared" si="12"/>
        <v>3242</v>
      </c>
      <c r="J41" s="215">
        <f t="shared" si="10"/>
        <v>540</v>
      </c>
      <c r="K41" s="169">
        <f t="shared" si="1"/>
        <v>2702</v>
      </c>
      <c r="L41" s="143">
        <f t="shared" si="13"/>
        <v>857</v>
      </c>
      <c r="M41" s="101">
        <f t="shared" si="2"/>
        <v>-180</v>
      </c>
      <c r="N41" s="221">
        <f t="shared" si="14"/>
        <v>-6.2456627342123525E-2</v>
      </c>
      <c r="O41" s="97"/>
      <c r="P41" s="240">
        <v>3407</v>
      </c>
      <c r="Q41" s="250">
        <v>525</v>
      </c>
      <c r="R41" s="241">
        <v>2882</v>
      </c>
      <c r="S41" s="241">
        <v>779</v>
      </c>
      <c r="U41" s="220"/>
      <c r="V41" s="99"/>
      <c r="W41" s="100"/>
    </row>
    <row r="42" spans="1:23" s="95" customFormat="1">
      <c r="A42" s="148">
        <v>34</v>
      </c>
      <c r="B42" s="95" t="s">
        <v>233</v>
      </c>
      <c r="C42" s="286">
        <v>23544</v>
      </c>
      <c r="D42" s="212">
        <f t="shared" si="3"/>
        <v>1.557123290117386E-2</v>
      </c>
      <c r="E42" s="265">
        <v>65722</v>
      </c>
      <c r="F42" s="212">
        <f t="shared" si="4"/>
        <v>1.6336349533550763E-2</v>
      </c>
      <c r="G42" s="213">
        <f t="shared" si="5"/>
        <v>89266</v>
      </c>
      <c r="H42" s="214">
        <f t="shared" si="6"/>
        <v>1.6127342155621463E-2</v>
      </c>
      <c r="I42" s="98">
        <f t="shared" si="12"/>
        <v>10779</v>
      </c>
      <c r="J42" s="215">
        <f t="shared" si="10"/>
        <v>540</v>
      </c>
      <c r="K42" s="169">
        <f t="shared" si="1"/>
        <v>10239</v>
      </c>
      <c r="L42" s="143">
        <f t="shared" si="13"/>
        <v>2848</v>
      </c>
      <c r="M42" s="101">
        <f t="shared" si="2"/>
        <v>593</v>
      </c>
      <c r="N42" s="221">
        <f t="shared" si="14"/>
        <v>6.1476259589467133E-2</v>
      </c>
      <c r="O42" s="97"/>
      <c r="P42" s="240">
        <v>10171</v>
      </c>
      <c r="Q42" s="250">
        <v>525</v>
      </c>
      <c r="R42" s="241">
        <v>9646</v>
      </c>
      <c r="S42" s="241">
        <v>2326</v>
      </c>
      <c r="U42" s="220"/>
      <c r="V42" s="99"/>
      <c r="W42" s="100"/>
    </row>
    <row r="43" spans="1:23" s="95" customFormat="1">
      <c r="A43" s="148">
        <v>35</v>
      </c>
      <c r="B43" s="95" t="s">
        <v>234</v>
      </c>
      <c r="C43" s="286">
        <v>41351</v>
      </c>
      <c r="D43" s="212">
        <f t="shared" si="3"/>
        <v>2.7348201312285096E-2</v>
      </c>
      <c r="E43" s="265">
        <v>57830</v>
      </c>
      <c r="F43" s="212">
        <f t="shared" si="4"/>
        <v>1.4374655268026545E-2</v>
      </c>
      <c r="G43" s="213">
        <f t="shared" si="5"/>
        <v>99181</v>
      </c>
      <c r="H43" s="214">
        <f t="shared" si="6"/>
        <v>1.7918646767377189E-2</v>
      </c>
      <c r="I43" s="98">
        <f t="shared" si="12"/>
        <v>11976</v>
      </c>
      <c r="J43" s="215">
        <f t="shared" si="10"/>
        <v>540</v>
      </c>
      <c r="K43" s="169">
        <f t="shared" si="1"/>
        <v>11436</v>
      </c>
      <c r="L43" s="143">
        <f t="shared" si="13"/>
        <v>3164</v>
      </c>
      <c r="M43" s="101">
        <f t="shared" si="2"/>
        <v>533</v>
      </c>
      <c r="N43" s="221">
        <f t="shared" si="14"/>
        <v>4.8885627808859945E-2</v>
      </c>
      <c r="O43" s="97"/>
      <c r="P43" s="240">
        <v>11428</v>
      </c>
      <c r="Q43" s="250">
        <v>525</v>
      </c>
      <c r="R43" s="241">
        <v>10903</v>
      </c>
      <c r="S43" s="241">
        <v>2613</v>
      </c>
      <c r="U43" s="220"/>
      <c r="V43" s="99"/>
      <c r="W43" s="100"/>
    </row>
    <row r="44" spans="1:23" s="95" customFormat="1">
      <c r="A44" s="148">
        <v>36</v>
      </c>
      <c r="B44" s="95" t="s">
        <v>181</v>
      </c>
      <c r="C44" s="286">
        <v>15233</v>
      </c>
      <c r="D44" s="212">
        <f t="shared" si="3"/>
        <v>1.0074608850814706E-2</v>
      </c>
      <c r="E44" s="265">
        <v>16111</v>
      </c>
      <c r="F44" s="212">
        <f t="shared" si="4"/>
        <v>4.0046700851318635E-3</v>
      </c>
      <c r="G44" s="213">
        <f t="shared" si="5"/>
        <v>31344</v>
      </c>
      <c r="H44" s="214">
        <f t="shared" si="6"/>
        <v>5.6627989663007097E-3</v>
      </c>
      <c r="I44" s="98">
        <f t="shared" si="12"/>
        <v>3785</v>
      </c>
      <c r="J44" s="215">
        <f t="shared" si="10"/>
        <v>540</v>
      </c>
      <c r="K44" s="169">
        <f t="shared" si="1"/>
        <v>3245</v>
      </c>
      <c r="L44" s="143">
        <f t="shared" si="13"/>
        <v>1000</v>
      </c>
      <c r="M44" s="101">
        <f t="shared" si="2"/>
        <v>12</v>
      </c>
      <c r="N44" s="221">
        <f t="shared" si="14"/>
        <v>3.7117228580266005E-3</v>
      </c>
      <c r="O44" s="97"/>
      <c r="P44" s="240">
        <v>3758</v>
      </c>
      <c r="Q44" s="250">
        <v>525</v>
      </c>
      <c r="R44" s="241">
        <v>3233</v>
      </c>
      <c r="S44" s="241">
        <v>859</v>
      </c>
      <c r="U44" s="220"/>
      <c r="V44" s="99"/>
      <c r="W44" s="100"/>
    </row>
    <row r="45" spans="1:23" s="95" customFormat="1">
      <c r="A45" s="148">
        <v>37</v>
      </c>
      <c r="B45" s="156" t="s">
        <v>235</v>
      </c>
      <c r="C45" s="286">
        <v>21661</v>
      </c>
      <c r="D45" s="212">
        <f t="shared" si="3"/>
        <v>1.4325878180102234E-2</v>
      </c>
      <c r="E45" s="265">
        <v>61972</v>
      </c>
      <c r="F45" s="212">
        <f t="shared" si="4"/>
        <v>1.5404221619749976E-2</v>
      </c>
      <c r="G45" s="213">
        <f t="shared" si="5"/>
        <v>83633</v>
      </c>
      <c r="H45" s="214">
        <f t="shared" si="6"/>
        <v>1.5109649883506484E-2</v>
      </c>
      <c r="I45" s="98">
        <f t="shared" si="12"/>
        <v>10099</v>
      </c>
      <c r="J45" s="215">
        <f t="shared" si="10"/>
        <v>540</v>
      </c>
      <c r="K45" s="169">
        <f t="shared" si="1"/>
        <v>9559</v>
      </c>
      <c r="L45" s="143">
        <f t="shared" si="13"/>
        <v>2668</v>
      </c>
      <c r="M45" s="101">
        <f t="shared" si="2"/>
        <v>265</v>
      </c>
      <c r="N45" s="221">
        <f t="shared" si="14"/>
        <v>2.8513019152141165E-2</v>
      </c>
      <c r="O45" s="97"/>
      <c r="P45" s="240">
        <v>9819</v>
      </c>
      <c r="Q45" s="250">
        <v>525</v>
      </c>
      <c r="R45" s="241">
        <v>9294</v>
      </c>
      <c r="S45" s="241">
        <v>2245</v>
      </c>
      <c r="U45" s="220"/>
      <c r="V45" s="99"/>
      <c r="W45" s="100"/>
    </row>
    <row r="46" spans="1:23" s="95" customFormat="1">
      <c r="A46" s="148">
        <v>38</v>
      </c>
      <c r="B46" s="156" t="s">
        <v>236</v>
      </c>
      <c r="C46" s="286">
        <v>16087</v>
      </c>
      <c r="D46" s="212">
        <f t="shared" si="3"/>
        <v>1.0639416568178045E-2</v>
      </c>
      <c r="E46" s="265">
        <v>22233</v>
      </c>
      <c r="F46" s="212">
        <f t="shared" si="4"/>
        <v>5.5263999753421096E-3</v>
      </c>
      <c r="G46" s="213">
        <f t="shared" si="5"/>
        <v>38320</v>
      </c>
      <c r="H46" s="214">
        <f t="shared" si="6"/>
        <v>6.9231258419041345E-3</v>
      </c>
      <c r="I46" s="98">
        <f t="shared" si="12"/>
        <v>4627</v>
      </c>
      <c r="J46" s="215">
        <f t="shared" si="10"/>
        <v>540</v>
      </c>
      <c r="K46" s="169">
        <f t="shared" si="1"/>
        <v>4087</v>
      </c>
      <c r="L46" s="143">
        <f t="shared" si="13"/>
        <v>1223</v>
      </c>
      <c r="M46" s="101">
        <f t="shared" si="2"/>
        <v>-180</v>
      </c>
      <c r="N46" s="221">
        <f t="shared" si="14"/>
        <v>-4.2184204359034451E-2</v>
      </c>
      <c r="O46" s="97"/>
      <c r="P46" s="240">
        <v>4792</v>
      </c>
      <c r="Q46" s="250">
        <v>525</v>
      </c>
      <c r="R46" s="241">
        <v>4267</v>
      </c>
      <c r="S46" s="241">
        <v>1096</v>
      </c>
      <c r="U46" s="220"/>
      <c r="V46" s="99"/>
      <c r="W46" s="100"/>
    </row>
    <row r="47" spans="1:23" s="95" customFormat="1">
      <c r="A47" s="148">
        <v>39</v>
      </c>
      <c r="B47" s="95" t="s">
        <v>237</v>
      </c>
      <c r="C47" s="286">
        <v>33601</v>
      </c>
      <c r="D47" s="212">
        <f t="shared" si="3"/>
        <v>2.2222604345580314E-2</v>
      </c>
      <c r="E47" s="265">
        <v>49060</v>
      </c>
      <c r="F47" s="212">
        <f t="shared" si="4"/>
        <v>1.2194718786951103E-2</v>
      </c>
      <c r="G47" s="213">
        <f t="shared" si="5"/>
        <v>82661</v>
      </c>
      <c r="H47" s="214">
        <f t="shared" si="6"/>
        <v>1.4934042411733758E-2</v>
      </c>
      <c r="I47" s="98">
        <f t="shared" si="12"/>
        <v>9981</v>
      </c>
      <c r="J47" s="215">
        <f t="shared" si="10"/>
        <v>540</v>
      </c>
      <c r="K47" s="169">
        <f t="shared" si="1"/>
        <v>9441</v>
      </c>
      <c r="L47" s="143">
        <f t="shared" si="13"/>
        <v>2637</v>
      </c>
      <c r="M47" s="101">
        <f t="shared" si="2"/>
        <v>-58</v>
      </c>
      <c r="N47" s="221">
        <f t="shared" si="14"/>
        <v>-6.1059058848299819E-3</v>
      </c>
      <c r="O47" s="97"/>
      <c r="P47" s="240">
        <v>10024</v>
      </c>
      <c r="Q47" s="250">
        <v>525</v>
      </c>
      <c r="R47" s="241">
        <v>9499</v>
      </c>
      <c r="S47" s="241">
        <v>2292</v>
      </c>
      <c r="U47" s="220"/>
      <c r="V47" s="99"/>
      <c r="W47" s="100"/>
    </row>
    <row r="48" spans="1:23" s="95" customFormat="1">
      <c r="A48" s="148">
        <v>40</v>
      </c>
      <c r="B48" s="156" t="s">
        <v>238</v>
      </c>
      <c r="C48" s="286">
        <v>42501</v>
      </c>
      <c r="D48" s="212">
        <f t="shared" si="3"/>
        <v>2.8108773765409031E-2</v>
      </c>
      <c r="E48" s="265">
        <v>156704</v>
      </c>
      <c r="F48" s="212">
        <f t="shared" si="4"/>
        <v>3.8951512694463633E-2</v>
      </c>
      <c r="G48" s="213">
        <f t="shared" si="5"/>
        <v>199205</v>
      </c>
      <c r="H48" s="214">
        <f t="shared" si="6"/>
        <v>3.5989595076631339E-2</v>
      </c>
      <c r="I48" s="98">
        <f t="shared" si="12"/>
        <v>24054</v>
      </c>
      <c r="J48" s="215">
        <f t="shared" si="10"/>
        <v>540</v>
      </c>
      <c r="K48" s="169">
        <f t="shared" si="1"/>
        <v>23514</v>
      </c>
      <c r="L48" s="143">
        <f t="shared" si="13"/>
        <v>6356</v>
      </c>
      <c r="M48" s="101">
        <f t="shared" si="2"/>
        <v>-1024</v>
      </c>
      <c r="N48" s="221">
        <f t="shared" si="14"/>
        <v>-4.1731192436221372E-2</v>
      </c>
      <c r="O48" s="97"/>
      <c r="P48" s="240">
        <v>25063</v>
      </c>
      <c r="Q48" s="250">
        <v>525</v>
      </c>
      <c r="R48" s="241">
        <v>24538</v>
      </c>
      <c r="S48" s="241">
        <v>5731</v>
      </c>
      <c r="U48" s="220"/>
      <c r="V48" s="99"/>
      <c r="W48" s="100"/>
    </row>
    <row r="49" spans="1:23" s="95" customFormat="1">
      <c r="A49" s="148">
        <v>41</v>
      </c>
      <c r="B49" s="95" t="s">
        <v>184</v>
      </c>
      <c r="C49" s="286">
        <v>102887</v>
      </c>
      <c r="D49" s="212">
        <f t="shared" si="3"/>
        <v>6.8046102595271621E-2</v>
      </c>
      <c r="E49" s="265">
        <v>299665</v>
      </c>
      <c r="F49" s="212">
        <f t="shared" si="4"/>
        <v>7.4486963010430132E-2</v>
      </c>
      <c r="G49" s="213">
        <f t="shared" si="5"/>
        <v>402552</v>
      </c>
      <c r="H49" s="214">
        <f t="shared" si="6"/>
        <v>7.2727509235652216E-2</v>
      </c>
      <c r="I49" s="98">
        <f t="shared" si="12"/>
        <v>48608</v>
      </c>
      <c r="J49" s="215">
        <f t="shared" si="10"/>
        <v>540</v>
      </c>
      <c r="K49" s="169">
        <f t="shared" si="1"/>
        <v>48068</v>
      </c>
      <c r="L49" s="143">
        <f t="shared" si="13"/>
        <v>12844</v>
      </c>
      <c r="M49" s="101">
        <f t="shared" si="2"/>
        <v>657</v>
      </c>
      <c r="N49" s="221">
        <f t="shared" si="14"/>
        <v>1.3857543608023454E-2</v>
      </c>
      <c r="O49" s="97"/>
      <c r="P49" s="240">
        <v>47936</v>
      </c>
      <c r="Q49" s="250">
        <v>525</v>
      </c>
      <c r="R49" s="241">
        <v>47411</v>
      </c>
      <c r="S49" s="241">
        <v>10961</v>
      </c>
      <c r="U49" s="220"/>
      <c r="V49" s="99"/>
      <c r="W49" s="100"/>
    </row>
    <row r="50" spans="1:23" s="95" customFormat="1">
      <c r="A50" s="148">
        <v>42</v>
      </c>
      <c r="B50" s="95" t="s">
        <v>239</v>
      </c>
      <c r="C50" s="286">
        <v>27491</v>
      </c>
      <c r="D50" s="212">
        <f t="shared" si="3"/>
        <v>1.8181649833765315E-2</v>
      </c>
      <c r="E50" s="265">
        <v>64599</v>
      </c>
      <c r="F50" s="212">
        <f t="shared" si="4"/>
        <v>1.6057208294297888E-2</v>
      </c>
      <c r="G50" s="213">
        <f t="shared" si="5"/>
        <v>92090</v>
      </c>
      <c r="H50" s="214">
        <f t="shared" si="6"/>
        <v>1.6637543287603123E-2</v>
      </c>
      <c r="I50" s="98">
        <f t="shared" si="12"/>
        <v>11120</v>
      </c>
      <c r="J50" s="215">
        <f t="shared" si="10"/>
        <v>540</v>
      </c>
      <c r="K50" s="169">
        <f t="shared" si="1"/>
        <v>10580</v>
      </c>
      <c r="L50" s="143">
        <f t="shared" si="13"/>
        <v>2938</v>
      </c>
      <c r="M50" s="101">
        <f t="shared" si="2"/>
        <v>113</v>
      </c>
      <c r="N50" s="221">
        <f t="shared" si="14"/>
        <v>1.0795834527562817E-2</v>
      </c>
      <c r="O50" s="97"/>
      <c r="P50" s="240">
        <v>10992</v>
      </c>
      <c r="Q50" s="250">
        <v>525</v>
      </c>
      <c r="R50" s="241">
        <v>10467</v>
      </c>
      <c r="S50" s="241">
        <v>2513</v>
      </c>
      <c r="U50" s="220"/>
      <c r="V50" s="99"/>
      <c r="W50" s="100"/>
    </row>
    <row r="51" spans="1:23" s="95" customFormat="1">
      <c r="A51" s="148">
        <v>43</v>
      </c>
      <c r="B51" s="156" t="s">
        <v>240</v>
      </c>
      <c r="C51" s="286">
        <v>7290</v>
      </c>
      <c r="D51" s="212">
        <f t="shared" si="3"/>
        <v>4.8213679854552096E-3</v>
      </c>
      <c r="E51" s="265">
        <v>8631</v>
      </c>
      <c r="F51" s="212">
        <f t="shared" si="4"/>
        <v>2.1453856064038929E-3</v>
      </c>
      <c r="G51" s="213">
        <f t="shared" si="5"/>
        <v>15921</v>
      </c>
      <c r="H51" s="214">
        <f t="shared" si="6"/>
        <v>2.8763853478328736E-3</v>
      </c>
      <c r="I51" s="98">
        <f t="shared" si="12"/>
        <v>1922</v>
      </c>
      <c r="J51" s="215">
        <f t="shared" si="10"/>
        <v>540</v>
      </c>
      <c r="K51" s="169">
        <f>I51-J51</f>
        <v>1382</v>
      </c>
      <c r="L51" s="143">
        <f t="shared" si="13"/>
        <v>508</v>
      </c>
      <c r="M51" s="101">
        <f>K51-R51</f>
        <v>-7</v>
      </c>
      <c r="N51" s="221">
        <f t="shared" si="14"/>
        <v>-5.0395968322534193E-3</v>
      </c>
      <c r="O51" s="97"/>
      <c r="P51" s="240">
        <v>1914</v>
      </c>
      <c r="Q51" s="250">
        <v>525</v>
      </c>
      <c r="R51" s="241">
        <v>1389</v>
      </c>
      <c r="S51" s="241">
        <v>438</v>
      </c>
      <c r="U51" s="220"/>
      <c r="V51" s="99"/>
      <c r="W51" s="100"/>
    </row>
    <row r="52" spans="1:23" s="95" customFormat="1">
      <c r="A52" s="148">
        <v>44</v>
      </c>
      <c r="B52" s="95" t="s">
        <v>241</v>
      </c>
      <c r="C52" s="286">
        <v>19942</v>
      </c>
      <c r="D52" s="212">
        <f t="shared" si="3"/>
        <v>1.3188987704519586E-2</v>
      </c>
      <c r="E52" s="265">
        <v>47561</v>
      </c>
      <c r="F52" s="212">
        <f t="shared" si="4"/>
        <v>1.1822116188874469E-2</v>
      </c>
      <c r="G52" s="213">
        <f t="shared" si="5"/>
        <v>67503</v>
      </c>
      <c r="H52" s="214">
        <f t="shared" si="6"/>
        <v>1.2195505315920009E-2</v>
      </c>
      <c r="I52" s="98">
        <f t="shared" si="12"/>
        <v>8151</v>
      </c>
      <c r="J52" s="215">
        <f t="shared" si="10"/>
        <v>540</v>
      </c>
      <c r="K52" s="169">
        <f t="shared" si="1"/>
        <v>7611</v>
      </c>
      <c r="L52" s="143">
        <f t="shared" si="13"/>
        <v>2154</v>
      </c>
      <c r="M52" s="101">
        <f t="shared" si="2"/>
        <v>-414</v>
      </c>
      <c r="N52" s="221">
        <f t="shared" si="14"/>
        <v>-5.1588785046728973E-2</v>
      </c>
      <c r="O52" s="97"/>
      <c r="P52" s="240">
        <v>8550</v>
      </c>
      <c r="Q52" s="250">
        <v>525</v>
      </c>
      <c r="R52" s="241">
        <v>8025</v>
      </c>
      <c r="S52" s="241">
        <v>1955</v>
      </c>
      <c r="U52" s="220"/>
      <c r="V52" s="99"/>
      <c r="W52" s="100"/>
    </row>
    <row r="53" spans="1:23" s="95" customFormat="1">
      <c r="A53" s="148">
        <v>45</v>
      </c>
      <c r="B53" s="95" t="s">
        <v>242</v>
      </c>
      <c r="C53" s="286">
        <v>14027</v>
      </c>
      <c r="D53" s="212">
        <f t="shared" si="3"/>
        <v>9.2769998260603861E-3</v>
      </c>
      <c r="E53" s="265">
        <v>33293</v>
      </c>
      <c r="F53" s="212">
        <f t="shared" si="4"/>
        <v>8.2755559024452318E-3</v>
      </c>
      <c r="G53" s="213">
        <f t="shared" si="5"/>
        <v>47320</v>
      </c>
      <c r="H53" s="214">
        <f t="shared" si="6"/>
        <v>8.5491209509108469E-3</v>
      </c>
      <c r="I53" s="98">
        <f t="shared" si="12"/>
        <v>5714</v>
      </c>
      <c r="J53" s="215">
        <f t="shared" si="10"/>
        <v>540</v>
      </c>
      <c r="K53" s="169">
        <f t="shared" si="1"/>
        <v>5174</v>
      </c>
      <c r="L53" s="143">
        <f t="shared" si="13"/>
        <v>1510</v>
      </c>
      <c r="M53" s="101">
        <f t="shared" si="2"/>
        <v>382</v>
      </c>
      <c r="N53" s="221">
        <f t="shared" si="14"/>
        <v>7.971619365609349E-2</v>
      </c>
      <c r="O53" s="97"/>
      <c r="P53" s="240">
        <v>5317</v>
      </c>
      <c r="Q53" s="250">
        <v>525</v>
      </c>
      <c r="R53" s="241">
        <v>4792</v>
      </c>
      <c r="S53" s="241">
        <v>1216</v>
      </c>
      <c r="U53" s="220"/>
      <c r="V53" s="99"/>
      <c r="W53" s="100"/>
    </row>
    <row r="54" spans="1:23" s="95" customFormat="1">
      <c r="A54" s="148">
        <v>46</v>
      </c>
      <c r="B54" s="95" t="s">
        <v>188</v>
      </c>
      <c r="C54" s="286">
        <v>20957</v>
      </c>
      <c r="D54" s="212">
        <f t="shared" si="3"/>
        <v>1.3860275565320277E-2</v>
      </c>
      <c r="E54" s="265">
        <v>61600</v>
      </c>
      <c r="F54" s="212">
        <f t="shared" si="4"/>
        <v>1.5311754530700938E-2</v>
      </c>
      <c r="G54" s="213">
        <f t="shared" si="5"/>
        <v>82557</v>
      </c>
      <c r="H54" s="214">
        <f t="shared" si="6"/>
        <v>1.4915253134918571E-2</v>
      </c>
      <c r="I54" s="98">
        <f t="shared" si="12"/>
        <v>9969</v>
      </c>
      <c r="J54" s="215">
        <f t="shared" si="10"/>
        <v>540</v>
      </c>
      <c r="K54" s="169">
        <f t="shared" si="1"/>
        <v>9429</v>
      </c>
      <c r="L54" s="143">
        <f t="shared" si="13"/>
        <v>2634</v>
      </c>
      <c r="M54" s="101">
        <f t="shared" si="2"/>
        <v>377</v>
      </c>
      <c r="N54" s="221">
        <f t="shared" si="14"/>
        <v>4.1648254529385774E-2</v>
      </c>
      <c r="O54" s="97"/>
      <c r="P54" s="240">
        <v>9577</v>
      </c>
      <c r="Q54" s="250">
        <v>525</v>
      </c>
      <c r="R54" s="241">
        <v>9052</v>
      </c>
      <c r="S54" s="241">
        <v>2190</v>
      </c>
      <c r="U54" s="220"/>
      <c r="V54" s="99"/>
      <c r="W54" s="100"/>
    </row>
    <row r="55" spans="1:23" s="95" customFormat="1">
      <c r="A55" s="148">
        <v>47</v>
      </c>
      <c r="B55" s="156" t="s">
        <v>243</v>
      </c>
      <c r="C55" s="286">
        <v>19806</v>
      </c>
      <c r="D55" s="212">
        <f t="shared" si="3"/>
        <v>1.3099041744845798E-2</v>
      </c>
      <c r="E55" s="265">
        <v>45010</v>
      </c>
      <c r="F55" s="212">
        <f t="shared" si="4"/>
        <v>1.1188020640046254E-2</v>
      </c>
      <c r="G55" s="213">
        <f t="shared" si="5"/>
        <v>64816</v>
      </c>
      <c r="H55" s="214">
        <f t="shared" si="6"/>
        <v>1.1710055442819894E-2</v>
      </c>
      <c r="I55" s="98">
        <f t="shared" si="12"/>
        <v>7827</v>
      </c>
      <c r="J55" s="215">
        <f t="shared" si="10"/>
        <v>540</v>
      </c>
      <c r="K55" s="169">
        <f t="shared" si="1"/>
        <v>7287</v>
      </c>
      <c r="L55" s="143">
        <f t="shared" si="13"/>
        <v>2068</v>
      </c>
      <c r="M55" s="101">
        <f t="shared" si="2"/>
        <v>951</v>
      </c>
      <c r="N55" s="221">
        <f t="shared" si="14"/>
        <v>0.15009469696969696</v>
      </c>
      <c r="O55" s="97"/>
      <c r="P55" s="240">
        <v>6861</v>
      </c>
      <c r="Q55" s="250">
        <v>525</v>
      </c>
      <c r="R55" s="241">
        <v>6336</v>
      </c>
      <c r="S55" s="241">
        <v>1569</v>
      </c>
      <c r="U55" s="220"/>
      <c r="V55" s="99"/>
      <c r="W55" s="100"/>
    </row>
    <row r="56" spans="1:23" s="95" customFormat="1">
      <c r="A56" s="148">
        <v>48</v>
      </c>
      <c r="B56" s="156" t="s">
        <v>244</v>
      </c>
      <c r="C56" s="286">
        <v>13225</v>
      </c>
      <c r="D56" s="212">
        <f t="shared" si="3"/>
        <v>8.7465832109252604E-3</v>
      </c>
      <c r="E56" s="265">
        <v>21082</v>
      </c>
      <c r="F56" s="212">
        <f t="shared" si="4"/>
        <v>5.2402988476661881E-3</v>
      </c>
      <c r="G56" s="213">
        <f t="shared" si="5"/>
        <v>34307</v>
      </c>
      <c r="H56" s="214">
        <f t="shared" si="6"/>
        <v>6.1981126894103634E-3</v>
      </c>
      <c r="I56" s="98">
        <f t="shared" si="12"/>
        <v>4143</v>
      </c>
      <c r="J56" s="215">
        <f t="shared" si="10"/>
        <v>540</v>
      </c>
      <c r="K56" s="169">
        <f t="shared" si="1"/>
        <v>3603</v>
      </c>
      <c r="L56" s="143">
        <f t="shared" si="13"/>
        <v>1095</v>
      </c>
      <c r="M56" s="101">
        <f t="shared" si="2"/>
        <v>342</v>
      </c>
      <c r="N56" s="221">
        <f t="shared" si="14"/>
        <v>0.10487580496780129</v>
      </c>
      <c r="O56" s="97"/>
      <c r="P56" s="240">
        <v>3786</v>
      </c>
      <c r="Q56" s="250">
        <v>525</v>
      </c>
      <c r="R56" s="241">
        <v>3261</v>
      </c>
      <c r="S56" s="241">
        <v>866</v>
      </c>
      <c r="U56" s="220"/>
      <c r="V56" s="99"/>
      <c r="W56" s="100"/>
    </row>
    <row r="57" spans="1:23" s="95" customFormat="1" ht="15" customHeight="1" thickBot="1">
      <c r="A57" s="148">
        <v>49</v>
      </c>
      <c r="B57" s="95" t="s">
        <v>189</v>
      </c>
      <c r="C57" s="286">
        <v>15711</v>
      </c>
      <c r="D57" s="212">
        <f t="shared" si="3"/>
        <v>1.0390742444374046E-2</v>
      </c>
      <c r="E57" s="265">
        <v>24509</v>
      </c>
      <c r="F57" s="212">
        <f t="shared" si="4"/>
        <v>6.0921394771582676E-3</v>
      </c>
      <c r="G57" s="213">
        <f t="shared" si="5"/>
        <v>40220</v>
      </c>
      <c r="H57" s="214">
        <f t="shared" si="6"/>
        <v>7.2663914760277733E-3</v>
      </c>
      <c r="I57" s="98">
        <f t="shared" si="12"/>
        <v>4857</v>
      </c>
      <c r="J57" s="215">
        <f t="shared" si="10"/>
        <v>540</v>
      </c>
      <c r="K57" s="169">
        <f t="shared" si="1"/>
        <v>4317</v>
      </c>
      <c r="L57" s="143">
        <f t="shared" si="13"/>
        <v>1283</v>
      </c>
      <c r="M57" s="101">
        <f t="shared" si="2"/>
        <v>-111</v>
      </c>
      <c r="N57" s="221">
        <f t="shared" si="14"/>
        <v>-2.5067750677506776E-2</v>
      </c>
      <c r="O57" s="97"/>
      <c r="P57" s="240">
        <v>4953</v>
      </c>
      <c r="Q57" s="250">
        <v>525</v>
      </c>
      <c r="R57" s="241">
        <v>4428</v>
      </c>
      <c r="S57" s="241">
        <v>1132</v>
      </c>
      <c r="U57" s="220"/>
      <c r="V57" s="99"/>
      <c r="W57" s="100"/>
    </row>
    <row r="58" spans="1:23" s="91" customFormat="1" ht="19.5" customHeight="1" thickBot="1">
      <c r="B58" s="102" t="s">
        <v>245</v>
      </c>
      <c r="C58" s="103">
        <f t="shared" ref="C58:H58" si="15">SUM(C9:C57)</f>
        <v>1512019</v>
      </c>
      <c r="D58" s="104">
        <f t="shared" si="15"/>
        <v>1</v>
      </c>
      <c r="E58" s="103">
        <f t="shared" si="15"/>
        <v>4023053</v>
      </c>
      <c r="F58" s="104">
        <f t="shared" si="15"/>
        <v>0.99999999999999978</v>
      </c>
      <c r="G58" s="103">
        <f t="shared" si="15"/>
        <v>5535072</v>
      </c>
      <c r="H58" s="104">
        <f t="shared" si="15"/>
        <v>1.0000000000000002</v>
      </c>
      <c r="I58" s="105">
        <f t="shared" ref="I58:M58" si="16">SUM(I9:I57)</f>
        <v>668364</v>
      </c>
      <c r="J58" s="106">
        <f t="shared" si="16"/>
        <v>26460</v>
      </c>
      <c r="K58" s="170">
        <f t="shared" si="16"/>
        <v>641904</v>
      </c>
      <c r="L58" s="145">
        <f t="shared" si="16"/>
        <v>176599</v>
      </c>
      <c r="M58" s="106">
        <f t="shared" si="16"/>
        <v>8131</v>
      </c>
      <c r="N58" s="107">
        <f t="shared" si="14"/>
        <v>1.2829514668501183E-2</v>
      </c>
      <c r="P58" s="188">
        <f>SUM(P9:P57)</f>
        <v>659498</v>
      </c>
      <c r="Q58" s="108">
        <f>SUM(Q9:Q57)</f>
        <v>25725</v>
      </c>
      <c r="R58" s="108">
        <f>SUM(R9:R57)</f>
        <v>633773</v>
      </c>
      <c r="S58" s="189">
        <f>SUM(S9:S57)</f>
        <v>150795</v>
      </c>
    </row>
    <row r="59" spans="1:23">
      <c r="I59" s="109"/>
      <c r="J59" s="110"/>
      <c r="K59" s="110"/>
      <c r="L59" s="110"/>
      <c r="M59" s="110"/>
      <c r="N59" s="111"/>
      <c r="P59" s="112"/>
      <c r="Q59" s="113"/>
      <c r="R59" s="113"/>
      <c r="S59" s="114"/>
    </row>
    <row r="60" spans="1:23">
      <c r="C60" s="115"/>
      <c r="D60" s="115"/>
      <c r="E60" s="115"/>
      <c r="F60" s="115"/>
      <c r="G60" s="115"/>
      <c r="H60" s="116"/>
      <c r="I60" s="117"/>
      <c r="J60" s="113"/>
      <c r="K60" s="118"/>
      <c r="L60" s="118"/>
      <c r="M60" s="118"/>
      <c r="N60" s="114"/>
      <c r="P60" s="222"/>
      <c r="Q60" s="113"/>
      <c r="R60" s="223"/>
      <c r="S60" s="114"/>
    </row>
    <row r="61" spans="1:23" ht="13.5" thickBot="1">
      <c r="C61" s="119"/>
      <c r="D61" s="119"/>
      <c r="E61" s="119"/>
      <c r="F61" s="119"/>
      <c r="G61" s="119"/>
      <c r="H61" s="120"/>
      <c r="I61" s="121"/>
      <c r="J61" s="122"/>
      <c r="K61" s="123"/>
      <c r="L61" s="123"/>
      <c r="M61" s="123"/>
      <c r="N61" s="124"/>
      <c r="P61" s="125"/>
      <c r="Q61" s="126"/>
      <c r="R61" s="187"/>
      <c r="S61" s="124"/>
    </row>
    <row r="62" spans="1:23">
      <c r="I62" s="113"/>
      <c r="J62" s="113"/>
      <c r="K62" s="113"/>
      <c r="L62" s="113"/>
      <c r="M62" s="113"/>
      <c r="N62" s="113"/>
    </row>
    <row r="63" spans="1:23">
      <c r="G63" s="127"/>
    </row>
  </sheetData>
  <mergeCells count="3">
    <mergeCell ref="P7:R7"/>
    <mergeCell ref="I6:N6"/>
    <mergeCell ref="I7:N7"/>
  </mergeCells>
  <phoneticPr fontId="9" type="noConversion"/>
  <printOptions horizontalCentered="1" gridLines="1"/>
  <pageMargins left="0.19" right="0.24" top="0.52" bottom="0.41" header="0.23" footer="0.17"/>
  <pageSetup scale="71" orientation="landscape" r:id="rId1"/>
  <headerFooter>
    <oddHeader>&amp;C2019 Recommended MORE Budget&amp;R&amp;D</oddHeader>
    <oddFooter>&amp;C&amp;A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T30"/>
  <sheetViews>
    <sheetView zoomScale="85" zoomScaleNormal="85" zoomScalePageLayoutView="85" workbookViewId="0"/>
  </sheetViews>
  <sheetFormatPr defaultColWidth="8.75" defaultRowHeight="14.25"/>
  <cols>
    <col min="1" max="1" width="32.75" customWidth="1"/>
    <col min="2" max="2" width="10.125" customWidth="1"/>
    <col min="3" max="8" width="9.375" customWidth="1"/>
    <col min="9" max="9" width="9.75" bestFit="1" customWidth="1"/>
    <col min="10" max="10" width="9.25" bestFit="1" customWidth="1"/>
    <col min="11" max="13" width="9" customWidth="1"/>
    <col min="14" max="14" width="9" style="258" customWidth="1"/>
    <col min="15" max="15" width="9.375" customWidth="1"/>
    <col min="16" max="17" width="11" customWidth="1"/>
    <col min="18" max="20" width="0" hidden="1" customWidth="1"/>
  </cols>
  <sheetData>
    <row r="1" spans="1:20">
      <c r="A1" s="28" t="s">
        <v>246</v>
      </c>
      <c r="B1" s="224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20">
      <c r="A2" s="28" t="s">
        <v>247</v>
      </c>
      <c r="B2" s="224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20">
      <c r="A3" s="30">
        <f>'2019 Recommended Budget'!B3</f>
        <v>43280</v>
      </c>
      <c r="B3" s="224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20">
      <c r="A4" s="31"/>
      <c r="B4" s="32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20" ht="15" thickBot="1">
      <c r="A5" s="29"/>
      <c r="B5" s="33"/>
      <c r="C5" s="319"/>
      <c r="D5" s="319"/>
      <c r="E5" s="319"/>
      <c r="F5" s="319"/>
      <c r="G5" s="191"/>
      <c r="H5" s="191"/>
      <c r="I5" s="319"/>
      <c r="J5" s="319"/>
      <c r="K5" s="34"/>
      <c r="L5" s="34"/>
      <c r="M5" s="34"/>
      <c r="N5" s="34"/>
      <c r="O5" s="29"/>
    </row>
    <row r="6" spans="1:20" ht="36" customHeight="1" thickBot="1">
      <c r="A6" s="29"/>
      <c r="B6" s="35" t="s">
        <v>248</v>
      </c>
      <c r="C6" s="36" t="s">
        <v>249</v>
      </c>
      <c r="D6" s="37">
        <v>2001</v>
      </c>
      <c r="E6" s="37">
        <v>2002</v>
      </c>
      <c r="F6" s="37">
        <v>2003</v>
      </c>
      <c r="G6" s="38" t="s">
        <v>250</v>
      </c>
      <c r="H6" s="38" t="s">
        <v>251</v>
      </c>
      <c r="I6" s="37">
        <v>2004</v>
      </c>
      <c r="J6" s="37" t="s">
        <v>252</v>
      </c>
      <c r="K6" s="39">
        <v>2011</v>
      </c>
      <c r="L6" s="39">
        <v>2012</v>
      </c>
      <c r="M6" s="39" t="s">
        <v>253</v>
      </c>
      <c r="N6" s="35" t="s">
        <v>342</v>
      </c>
      <c r="O6" s="40" t="s">
        <v>320</v>
      </c>
      <c r="P6" s="191"/>
      <c r="Q6" s="191"/>
      <c r="R6" s="191"/>
      <c r="S6" s="191"/>
      <c r="T6" s="41"/>
    </row>
    <row r="7" spans="1:20">
      <c r="A7" s="42" t="s">
        <v>254</v>
      </c>
      <c r="B7" s="43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29"/>
      <c r="P7" s="44"/>
      <c r="Q7" s="44"/>
      <c r="R7" s="44"/>
      <c r="S7" s="44"/>
      <c r="T7" s="44">
        <v>0</v>
      </c>
    </row>
    <row r="8" spans="1:20">
      <c r="A8" s="28" t="s">
        <v>255</v>
      </c>
      <c r="B8" s="43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>
        <v>24000</v>
      </c>
      <c r="N8" s="252"/>
      <c r="O8" s="46">
        <f>SUM(C8:N8)</f>
        <v>24000</v>
      </c>
      <c r="P8" s="225"/>
      <c r="Q8" s="225"/>
      <c r="R8" s="225"/>
      <c r="S8" s="225"/>
      <c r="T8" s="44"/>
    </row>
    <row r="9" spans="1:20">
      <c r="A9" s="29" t="s">
        <v>256</v>
      </c>
      <c r="B9" s="226">
        <v>54000</v>
      </c>
      <c r="C9" s="45">
        <f>$B$9/4</f>
        <v>13500</v>
      </c>
      <c r="D9" s="45">
        <f>$B$9/4</f>
        <v>13500</v>
      </c>
      <c r="E9" s="45">
        <f>$B$9/4</f>
        <v>13500</v>
      </c>
      <c r="F9" s="45">
        <v>13500</v>
      </c>
      <c r="G9" s="45">
        <v>-18507</v>
      </c>
      <c r="H9" s="45">
        <v>18507</v>
      </c>
      <c r="I9" s="29"/>
      <c r="J9" s="227">
        <v>11000</v>
      </c>
      <c r="K9" s="138"/>
      <c r="L9" s="138"/>
      <c r="M9" s="138">
        <v>-65000</v>
      </c>
      <c r="N9" s="245"/>
      <c r="O9" s="46">
        <f>SUM(C9:N9)</f>
        <v>0</v>
      </c>
      <c r="P9" s="47"/>
      <c r="Q9" s="44"/>
      <c r="R9" s="44"/>
      <c r="S9" s="44"/>
      <c r="T9" s="47"/>
    </row>
    <row r="10" spans="1:20">
      <c r="A10" s="29" t="s">
        <v>257</v>
      </c>
      <c r="B10" s="226">
        <v>28000</v>
      </c>
      <c r="C10" s="45">
        <f>$B$10/4</f>
        <v>7000</v>
      </c>
      <c r="D10" s="45">
        <f>$B$10/4</f>
        <v>7000</v>
      </c>
      <c r="E10" s="45">
        <f>$B$10/4</f>
        <v>7000</v>
      </c>
      <c r="F10" s="45">
        <f>$B$10/4</f>
        <v>7000</v>
      </c>
      <c r="G10" s="45"/>
      <c r="H10" s="45"/>
      <c r="I10" s="29"/>
      <c r="J10" s="29">
        <v>-3000</v>
      </c>
      <c r="K10" s="138"/>
      <c r="L10" s="138"/>
      <c r="M10" s="138">
        <v>-25000</v>
      </c>
      <c r="N10" s="245"/>
      <c r="O10" s="46">
        <f>SUM(C10:N10)</f>
        <v>0</v>
      </c>
      <c r="P10" s="47"/>
      <c r="Q10" s="44"/>
      <c r="R10" s="44"/>
      <c r="S10" s="44"/>
      <c r="T10" s="47"/>
    </row>
    <row r="11" spans="1:20">
      <c r="A11" s="29"/>
      <c r="B11" s="33"/>
      <c r="C11" s="47"/>
      <c r="D11" s="29"/>
      <c r="E11" s="29"/>
      <c r="F11" s="29"/>
      <c r="G11" s="29"/>
      <c r="H11" s="29"/>
      <c r="I11" s="29"/>
      <c r="J11" s="29"/>
      <c r="K11" s="138"/>
      <c r="L11" s="138"/>
      <c r="M11" s="138"/>
      <c r="N11" s="245"/>
      <c r="O11" s="29"/>
      <c r="P11" s="44"/>
      <c r="Q11" s="44"/>
      <c r="R11" s="44"/>
      <c r="S11" s="44"/>
      <c r="T11" s="44"/>
    </row>
    <row r="12" spans="1:20">
      <c r="A12" s="29"/>
      <c r="B12" s="33"/>
      <c r="C12" s="47"/>
      <c r="D12" s="29"/>
      <c r="E12" s="29"/>
      <c r="F12" s="29"/>
      <c r="G12" s="29"/>
      <c r="H12" s="29"/>
      <c r="I12" s="29"/>
      <c r="J12" s="29"/>
      <c r="K12" s="138"/>
      <c r="L12" s="138"/>
      <c r="M12" s="138"/>
      <c r="N12" s="245"/>
      <c r="O12" s="29"/>
      <c r="P12" s="44"/>
      <c r="Q12" s="44"/>
      <c r="R12" s="44"/>
      <c r="S12" s="44"/>
      <c r="T12" s="44"/>
    </row>
    <row r="13" spans="1:20">
      <c r="A13" s="29"/>
      <c r="B13" s="33"/>
      <c r="C13" s="29"/>
      <c r="D13" s="29"/>
      <c r="E13" s="29"/>
      <c r="F13" s="29"/>
      <c r="G13" s="29"/>
      <c r="H13" s="29"/>
      <c r="I13" s="29"/>
      <c r="J13" s="29"/>
      <c r="K13" s="138"/>
      <c r="L13" s="138"/>
      <c r="M13" s="138"/>
      <c r="N13" s="245"/>
      <c r="O13" s="29"/>
      <c r="P13" s="44"/>
      <c r="Q13" s="44"/>
      <c r="R13" s="44"/>
      <c r="S13" s="44"/>
      <c r="T13" s="44"/>
    </row>
    <row r="14" spans="1:20">
      <c r="A14" s="28" t="s">
        <v>258</v>
      </c>
      <c r="B14" s="33"/>
      <c r="C14" s="29"/>
      <c r="D14" s="29"/>
      <c r="E14" s="29"/>
      <c r="F14" s="29"/>
      <c r="G14" s="29"/>
      <c r="H14" s="29"/>
      <c r="I14" s="29"/>
      <c r="J14" s="29"/>
      <c r="K14" s="138"/>
      <c r="L14" s="138"/>
      <c r="M14" s="138"/>
      <c r="N14" s="245"/>
      <c r="O14" s="29"/>
      <c r="P14" s="44"/>
      <c r="Q14" s="44"/>
      <c r="R14" s="44"/>
      <c r="S14" s="44"/>
      <c r="T14" s="44"/>
    </row>
    <row r="15" spans="1:20">
      <c r="A15" s="29" t="s">
        <v>259</v>
      </c>
      <c r="B15" s="226">
        <v>260000</v>
      </c>
      <c r="C15" s="138">
        <f>$B$15/10</f>
        <v>26000</v>
      </c>
      <c r="D15" s="138">
        <f>$B$15/10</f>
        <v>26000</v>
      </c>
      <c r="E15" s="138">
        <f>$B$15/10</f>
        <v>26000</v>
      </c>
      <c r="F15" s="138">
        <f>$B$15/10</f>
        <v>26000</v>
      </c>
      <c r="G15" s="138"/>
      <c r="H15" s="138"/>
      <c r="I15" s="138">
        <v>26000</v>
      </c>
      <c r="J15" s="29">
        <v>0</v>
      </c>
      <c r="K15" s="138">
        <v>-19683</v>
      </c>
      <c r="L15" s="138">
        <v>-85292</v>
      </c>
      <c r="M15" s="138">
        <v>94975</v>
      </c>
      <c r="N15" s="245"/>
      <c r="O15" s="46">
        <f>SUM(C15:N15)</f>
        <v>120000</v>
      </c>
      <c r="P15" s="223"/>
      <c r="Q15" s="44"/>
      <c r="R15" s="44"/>
      <c r="S15" s="44"/>
      <c r="T15" s="47"/>
    </row>
    <row r="16" spans="1:20">
      <c r="A16" s="29"/>
      <c r="B16" s="33"/>
      <c r="C16" s="29"/>
      <c r="D16" s="29"/>
      <c r="E16" s="29"/>
      <c r="F16" s="29"/>
      <c r="G16" s="29"/>
      <c r="H16" s="29"/>
      <c r="I16" s="29"/>
      <c r="J16" s="29"/>
      <c r="K16" s="138"/>
      <c r="L16" s="138"/>
      <c r="M16" s="138"/>
      <c r="N16" s="245"/>
      <c r="O16" s="29"/>
      <c r="P16" s="44"/>
      <c r="Q16" s="44"/>
      <c r="R16" s="44"/>
      <c r="S16" s="44"/>
      <c r="T16" s="44"/>
    </row>
    <row r="17" spans="1:20">
      <c r="A17" s="29"/>
      <c r="B17" s="33"/>
      <c r="C17" s="29"/>
      <c r="D17" s="29"/>
      <c r="E17" s="29"/>
      <c r="F17" s="29"/>
      <c r="G17" s="29"/>
      <c r="H17" s="29"/>
      <c r="I17" s="29"/>
      <c r="J17" s="29"/>
      <c r="K17" s="138"/>
      <c r="L17" s="138"/>
      <c r="M17" s="138"/>
      <c r="N17" s="245"/>
      <c r="O17" s="29"/>
      <c r="P17" s="44"/>
      <c r="Q17" s="44"/>
      <c r="R17" s="44"/>
      <c r="S17" s="44"/>
      <c r="T17" s="44"/>
    </row>
    <row r="18" spans="1:20">
      <c r="A18" s="29"/>
      <c r="B18" s="33"/>
      <c r="C18" s="29"/>
      <c r="D18" s="29"/>
      <c r="E18" s="29"/>
      <c r="F18" s="29"/>
      <c r="G18" s="29"/>
      <c r="H18" s="29"/>
      <c r="I18" s="29"/>
      <c r="J18" s="29"/>
      <c r="K18" s="138"/>
      <c r="L18" s="138"/>
      <c r="M18" s="138"/>
      <c r="N18" s="245"/>
      <c r="O18" s="29"/>
      <c r="P18" s="44"/>
      <c r="Q18" s="44"/>
      <c r="R18" s="44"/>
      <c r="S18" s="44"/>
      <c r="T18" s="44"/>
    </row>
    <row r="19" spans="1:20">
      <c r="A19" s="28" t="s">
        <v>260</v>
      </c>
      <c r="B19" s="33"/>
      <c r="C19" s="29"/>
      <c r="D19" s="29"/>
      <c r="E19" s="29"/>
      <c r="F19" s="29"/>
      <c r="G19" s="29"/>
      <c r="H19" s="29"/>
      <c r="I19" s="29"/>
      <c r="J19" s="29"/>
      <c r="K19" s="138"/>
      <c r="L19" s="138"/>
      <c r="M19" s="138"/>
      <c r="N19" s="245"/>
      <c r="O19" s="29"/>
      <c r="P19" s="44"/>
      <c r="Q19" s="44"/>
      <c r="R19" s="44"/>
      <c r="S19" s="44"/>
      <c r="T19" s="44"/>
    </row>
    <row r="20" spans="1:20">
      <c r="A20" s="29" t="s">
        <v>261</v>
      </c>
      <c r="B20" s="226">
        <v>30000</v>
      </c>
      <c r="C20" s="138">
        <f>$B$20/4</f>
        <v>7500</v>
      </c>
      <c r="D20" s="138">
        <f>$B$20/4</f>
        <v>7500</v>
      </c>
      <c r="E20" s="138">
        <f>$B$20/4</f>
        <v>7500</v>
      </c>
      <c r="F20" s="138">
        <v>7500</v>
      </c>
      <c r="G20" s="138">
        <v>-21000</v>
      </c>
      <c r="H20" s="138">
        <v>21000</v>
      </c>
      <c r="I20" s="29"/>
      <c r="J20" s="29">
        <v>-5000</v>
      </c>
      <c r="K20" s="138"/>
      <c r="L20" s="138"/>
      <c r="M20" s="138"/>
      <c r="N20" s="245"/>
      <c r="O20" s="46">
        <f>SUM(C20:N20)</f>
        <v>25000</v>
      </c>
      <c r="P20" s="223"/>
      <c r="Q20" s="44"/>
      <c r="R20" s="44"/>
      <c r="S20" s="44"/>
      <c r="T20" s="47"/>
    </row>
    <row r="21" spans="1:20">
      <c r="A21" s="29" t="s">
        <v>262</v>
      </c>
      <c r="B21" s="226">
        <v>30000</v>
      </c>
      <c r="C21" s="138">
        <f>$B$21/4</f>
        <v>7500</v>
      </c>
      <c r="D21" s="138">
        <f>$B$21/4</f>
        <v>7500</v>
      </c>
      <c r="E21" s="138">
        <f>$B$21/4</f>
        <v>7500</v>
      </c>
      <c r="F21" s="138">
        <f>$B$21/4</f>
        <v>7500</v>
      </c>
      <c r="G21" s="138"/>
      <c r="H21" s="138"/>
      <c r="I21" s="29"/>
      <c r="J21" s="29"/>
      <c r="K21" s="138"/>
      <c r="L21" s="138"/>
      <c r="O21" s="46">
        <f>SUM(C21:N21)</f>
        <v>30000</v>
      </c>
      <c r="P21" s="223"/>
      <c r="Q21" s="44"/>
      <c r="R21" s="44"/>
      <c r="S21" s="44"/>
      <c r="T21" s="47"/>
    </row>
    <row r="22" spans="1:20">
      <c r="A22" s="29"/>
      <c r="B22" s="33"/>
      <c r="C22" s="29"/>
      <c r="D22" s="29"/>
      <c r="E22" s="29"/>
      <c r="F22" s="29"/>
      <c r="G22" s="29"/>
      <c r="H22" s="29"/>
      <c r="I22" s="29"/>
      <c r="J22" s="29"/>
      <c r="K22" s="138"/>
      <c r="L22" s="138"/>
      <c r="M22" s="138"/>
      <c r="N22" s="245"/>
      <c r="O22" s="29"/>
      <c r="P22" s="44"/>
      <c r="Q22" s="44"/>
      <c r="R22" s="44"/>
      <c r="S22" s="44"/>
      <c r="T22" s="44"/>
    </row>
    <row r="23" spans="1:20">
      <c r="A23" s="29"/>
      <c r="B23" s="33"/>
      <c r="C23" s="29"/>
      <c r="D23" s="29"/>
      <c r="E23" s="29"/>
      <c r="F23" s="29"/>
      <c r="G23" s="29"/>
      <c r="H23" s="29"/>
      <c r="I23" s="29"/>
      <c r="J23" s="29"/>
      <c r="K23" s="138"/>
      <c r="L23" s="138"/>
      <c r="M23" s="138"/>
      <c r="N23" s="245"/>
      <c r="O23" s="29"/>
      <c r="P23" s="44"/>
      <c r="Q23" s="44"/>
      <c r="R23" s="44"/>
      <c r="S23" s="44"/>
      <c r="T23" s="44"/>
    </row>
    <row r="24" spans="1:20">
      <c r="A24" s="29"/>
      <c r="B24" s="33"/>
      <c r="C24" s="29"/>
      <c r="D24" s="29"/>
      <c r="E24" s="29"/>
      <c r="F24" s="29"/>
      <c r="G24" s="29"/>
      <c r="H24" s="29"/>
      <c r="I24" s="29"/>
      <c r="J24" s="29"/>
      <c r="K24" s="138"/>
      <c r="L24" s="138"/>
      <c r="M24" s="138"/>
      <c r="N24" s="245"/>
      <c r="O24" s="29"/>
      <c r="P24" s="44"/>
      <c r="Q24" s="44"/>
      <c r="R24" s="44"/>
      <c r="S24" s="44"/>
      <c r="T24" s="44"/>
    </row>
    <row r="25" spans="1:20">
      <c r="A25" s="28" t="s">
        <v>263</v>
      </c>
      <c r="B25" s="228">
        <v>0.1</v>
      </c>
      <c r="C25" s="48">
        <f>SUM(C9:C21)*0.1</f>
        <v>6150</v>
      </c>
      <c r="D25" s="48">
        <f>SUM(D9:D21)*0.1</f>
        <v>6150</v>
      </c>
      <c r="E25" s="48">
        <f>SUM(E9:E21)*0.1</f>
        <v>6150</v>
      </c>
      <c r="F25" s="48">
        <f>SUM(F9:F21)*0.1</f>
        <v>6150</v>
      </c>
      <c r="G25" s="48"/>
      <c r="H25" s="48"/>
      <c r="I25" s="29">
        <v>3400</v>
      </c>
      <c r="J25" s="29">
        <v>-3000</v>
      </c>
      <c r="K25" s="138"/>
      <c r="L25" s="138"/>
      <c r="M25" s="138"/>
      <c r="N25" s="245"/>
      <c r="O25" s="46">
        <f>SUM(C25:N25)</f>
        <v>25000</v>
      </c>
      <c r="P25" s="49"/>
      <c r="Q25" s="44"/>
      <c r="R25" s="44"/>
      <c r="S25" s="44"/>
      <c r="T25" s="49"/>
    </row>
    <row r="26" spans="1:20">
      <c r="A26" s="29"/>
      <c r="B26" s="33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44"/>
      <c r="Q26" s="44"/>
      <c r="R26" s="44"/>
      <c r="S26" s="44"/>
      <c r="T26" s="44"/>
    </row>
    <row r="27" spans="1:20" ht="15" thickBot="1">
      <c r="A27" s="29"/>
      <c r="B27" s="33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44"/>
      <c r="Q27" s="44"/>
      <c r="R27" s="44"/>
      <c r="S27" s="44"/>
      <c r="T27" s="44"/>
    </row>
    <row r="28" spans="1:20" ht="15" thickBot="1">
      <c r="A28" s="28" t="s">
        <v>264</v>
      </c>
      <c r="B28" s="33"/>
      <c r="C28" s="229">
        <f t="shared" ref="C28:K28" si="0">SUM(C9:C27)</f>
        <v>67650</v>
      </c>
      <c r="D28" s="229">
        <f t="shared" si="0"/>
        <v>67650</v>
      </c>
      <c r="E28" s="229">
        <f t="shared" si="0"/>
        <v>67650</v>
      </c>
      <c r="F28" s="229">
        <f t="shared" si="0"/>
        <v>67650</v>
      </c>
      <c r="G28" s="229">
        <f t="shared" si="0"/>
        <v>-39507</v>
      </c>
      <c r="H28" s="229">
        <f t="shared" si="0"/>
        <v>39507</v>
      </c>
      <c r="I28" s="229">
        <f t="shared" si="0"/>
        <v>29400</v>
      </c>
      <c r="J28" s="229">
        <f t="shared" si="0"/>
        <v>0</v>
      </c>
      <c r="K28" s="229">
        <f t="shared" si="0"/>
        <v>-19683</v>
      </c>
      <c r="L28" s="229">
        <f>SUM(L9:L27)</f>
        <v>-85292</v>
      </c>
      <c r="M28" s="229">
        <f>SUM(M8:M27)</f>
        <v>28975</v>
      </c>
      <c r="N28" s="253">
        <f>SUM(N8:N27)</f>
        <v>0</v>
      </c>
      <c r="O28" s="229">
        <f>SUM(O8:O27)</f>
        <v>224000</v>
      </c>
      <c r="P28" s="225"/>
      <c r="Q28" s="225"/>
      <c r="R28" s="225"/>
      <c r="S28" s="225"/>
      <c r="T28" s="225"/>
    </row>
    <row r="29" spans="1:20" ht="15" thickBot="1">
      <c r="P29" s="27"/>
      <c r="Q29" s="27"/>
      <c r="R29" s="27"/>
      <c r="S29" s="27"/>
      <c r="T29" s="27"/>
    </row>
    <row r="30" spans="1:20" ht="15" thickBot="1">
      <c r="A30" s="50" t="s">
        <v>265</v>
      </c>
      <c r="C30" s="51">
        <f>C28</f>
        <v>67650</v>
      </c>
      <c r="D30" s="51">
        <f t="shared" ref="D30:K30" si="1">C30+D28</f>
        <v>135300</v>
      </c>
      <c r="E30" s="51">
        <f t="shared" si="1"/>
        <v>202950</v>
      </c>
      <c r="F30" s="51">
        <f t="shared" si="1"/>
        <v>270600</v>
      </c>
      <c r="G30" s="51">
        <f t="shared" si="1"/>
        <v>231093</v>
      </c>
      <c r="H30" s="51">
        <f t="shared" si="1"/>
        <v>270600</v>
      </c>
      <c r="I30" s="51">
        <f t="shared" si="1"/>
        <v>300000</v>
      </c>
      <c r="J30" s="51">
        <f t="shared" si="1"/>
        <v>300000</v>
      </c>
      <c r="K30" s="51">
        <f t="shared" si="1"/>
        <v>280317</v>
      </c>
      <c r="L30" s="51">
        <f>K30+L28</f>
        <v>195025</v>
      </c>
      <c r="M30" s="51">
        <f>L30+M28</f>
        <v>224000</v>
      </c>
      <c r="N30" s="234">
        <f>M30+N28</f>
        <v>224000</v>
      </c>
      <c r="O30" s="51"/>
    </row>
  </sheetData>
  <mergeCells count="3">
    <mergeCell ref="C5:D5"/>
    <mergeCell ref="E5:F5"/>
    <mergeCell ref="I5:J5"/>
  </mergeCells>
  <phoneticPr fontId="0" type="noConversion"/>
  <pageMargins left="0.34" right="0.41" top="0.55000000000000004" bottom="0.25" header="0.25" footer="0.25"/>
  <pageSetup scale="73" orientation="landscape" r:id="rId1"/>
  <headerFooter>
    <oddHeader>&amp;C&amp;K0000002019 Recommended MORE Budget</oddHeader>
    <oddFooter>&amp;A</oddFooter>
  </headerFooter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80E3B040B91C439A2460F3AEB9B2CA" ma:contentTypeVersion="0" ma:contentTypeDescription="Create a new document." ma:contentTypeScope="" ma:versionID="eaf62145e79f53b1db992b06cfcb252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e51e5d75fd9eb720630bb2bdd56224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60BAE2-2262-4C24-9CF2-332B2C49F7D5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7E8C259-3899-4BA0-803B-1335817CCB12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D60CB666-7927-4ACB-A1F0-B8752160BA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81DD48A2-48B5-40FB-A823-09222F95060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2019 Recommended Budget</vt:lpstr>
      <vt:lpstr>Carryover</vt:lpstr>
      <vt:lpstr>2019 Cost to Libs</vt:lpstr>
      <vt:lpstr>MORE Approved Formula w'17 Data</vt:lpstr>
      <vt:lpstr>Reserves</vt:lpstr>
      <vt:lpstr>'2019 Recommended Budget'!Print_Area</vt:lpstr>
      <vt:lpstr>Carryover!Print_Area</vt:lpstr>
      <vt:lpstr>'MORE Approved Formula w''17 Data'!Print_Area</vt:lpstr>
      <vt:lpstr>'2019 Cost to Libs'!Print_Titles</vt:lpstr>
      <vt:lpstr>'2019 Recommended Budget'!Print_Titles</vt:lpstr>
      <vt:lpstr>'MORE Approved Formula w''17 Data'!Print_Titles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 Button</dc:creator>
  <cp:lastModifiedBy>roholt</cp:lastModifiedBy>
  <cp:lastPrinted>2018-05-15T19:11:24Z</cp:lastPrinted>
  <dcterms:created xsi:type="dcterms:W3CDTF">2001-03-30T14:44:35Z</dcterms:created>
  <dcterms:modified xsi:type="dcterms:W3CDTF">2018-07-03T14:15:07Z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bool>true</vt:bool>
  </property>
  <property fmtid="{D5CDD505-2E9C-101B-9397-08002B2CF9AE}" pid="3" name="ContentTypeId">
    <vt:lpwstr>0x0101005080E3B040B91C439A2460F3AEB9B2CA</vt:lpwstr>
  </property>
</Properties>
</file>